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taux 2011" sheetId="1" r:id="rId1"/>
    <sheet name="Exemple" sheetId="2" r:id="rId2"/>
    <sheet name="Janv" sheetId="3" r:id="rId3"/>
    <sheet name="Févr" sheetId="4" r:id="rId4"/>
    <sheet name="Mars" sheetId="5" r:id="rId5"/>
    <sheet name="Avr" sheetId="6" r:id="rId6"/>
    <sheet name="Mai" sheetId="7" r:id="rId7"/>
    <sheet name="Juin" sheetId="8" r:id="rId8"/>
    <sheet name="Juil" sheetId="9" r:id="rId9"/>
    <sheet name="Août" sheetId="10" r:id="rId10"/>
    <sheet name="Sep" sheetId="11" r:id="rId11"/>
    <sheet name="Oct" sheetId="12" r:id="rId12"/>
    <sheet name="Nov" sheetId="13" r:id="rId13"/>
    <sheet name="Déc" sheetId="14" r:id="rId14"/>
    <sheet name="Param Taux" sheetId="15" r:id="rId15"/>
    <sheet name="Composantes du salaire" sheetId="16" r:id="rId16"/>
    <sheet name="Param Identification" sheetId="17" r:id="rId17"/>
  </sheets>
  <definedNames>
    <definedName name="_xlnm.Print_Area" localSheetId="9">'Août'!$A$1:$AA$70</definedName>
    <definedName name="_xlnm.Print_Area" localSheetId="5">'Avr'!$A$1:$AA$70</definedName>
    <definedName name="_xlnm.Print_Area" localSheetId="13">'Déc'!$A$1:$AA$70</definedName>
    <definedName name="_xlnm.Print_Area" localSheetId="3">'Févr'!$A$1:$AA$70</definedName>
    <definedName name="_xlnm.Print_Area" localSheetId="2">'Janv'!$A$1:$AA$70</definedName>
    <definedName name="_xlnm.Print_Area" localSheetId="8">'Juil'!$A$1:$AA$70</definedName>
    <definedName name="_xlnm.Print_Area" localSheetId="7">'Juin'!$A$1:$AA$71</definedName>
    <definedName name="_xlnm.Print_Area" localSheetId="6">'Mai'!$A$1:$AA$70</definedName>
    <definedName name="_xlnm.Print_Area" localSheetId="4">'Mars'!$A$1:$AA$70</definedName>
    <definedName name="_xlnm.Print_Area" localSheetId="12">'Nov'!$A$1:$AA$70</definedName>
    <definedName name="_xlnm.Print_Area" localSheetId="11">'Oct'!$A$1:$AA$69</definedName>
    <definedName name="_xlnm.Print_Area" localSheetId="10">'Sep'!$A$1:$AA$70</definedName>
  </definedNames>
  <calcPr fullCalcOnLoad="1"/>
</workbook>
</file>

<file path=xl/comments15.xml><?xml version="1.0" encoding="utf-8"?>
<comments xmlns="http://schemas.openxmlformats.org/spreadsheetml/2006/main">
  <authors>
    <author>AsposeUser</author>
  </authors>
  <commentList>
    <comment ref="C12" authorId="0">
      <text>
        <r>
          <rPr>
            <sz val="10"/>
            <rFont val="Arial"/>
            <family val="2"/>
          </rPr>
          <t xml:space="preserve">Pour le département d'Alsace Moselle, ce taux est fixé à 2,40%
</t>
        </r>
      </text>
    </comment>
  </commentList>
</comments>
</file>

<file path=xl/comments16.xml><?xml version="1.0" encoding="utf-8"?>
<comments xmlns="http://schemas.openxmlformats.org/spreadsheetml/2006/main">
  <authors>
    <author>AsposeUser</author>
  </authors>
  <commentList>
    <comment ref="A11" authorId="0">
      <text>
        <r>
          <rPr>
            <sz val="10"/>
            <rFont val="Arial"/>
            <family val="2"/>
          </rPr>
          <t>Auteur:
Saisie du nombre d'heures. Pour 5 heures, saisir 5
Pour 5 heures 30, saisir 5,5</t>
        </r>
      </text>
    </comment>
    <comment ref="A12" authorId="0">
      <text>
        <r>
          <rPr>
            <sz val="10"/>
            <rFont val="Arial"/>
            <family val="2"/>
          </rPr>
          <t>Auteur:
Saisie du nombre d'heures. Pour 5 heures, saisir 5
Pour 5 heures 30, saisir 5,5</t>
        </r>
      </text>
    </comment>
  </commentList>
</comments>
</file>

<file path=xl/sharedStrings.xml><?xml version="1.0" encoding="utf-8"?>
<sst xmlns="http://schemas.openxmlformats.org/spreadsheetml/2006/main" count="987" uniqueCount="230">
  <si>
    <t>Différence entre salaire brut et plafond</t>
  </si>
  <si>
    <t>Qualification</t>
  </si>
  <si>
    <t>Aide financière 35 H</t>
  </si>
  <si>
    <t>Retenue</t>
  </si>
  <si>
    <t>Retraite non cadre TB</t>
  </si>
  <si>
    <t>Prévoyance TBC</t>
  </si>
  <si>
    <t>Mutuelle</t>
  </si>
  <si>
    <t>Retraite non cadre TA</t>
  </si>
  <si>
    <t>Net à payer</t>
  </si>
  <si>
    <t>Emploi</t>
  </si>
  <si>
    <t>AGFF non cadre T B</t>
  </si>
  <si>
    <t>SOCIETE</t>
  </si>
  <si>
    <t>Assedic Fngs Tot</t>
  </si>
  <si>
    <t>AGFF non cadre T A</t>
  </si>
  <si>
    <t>Convention collective</t>
  </si>
  <si>
    <t>Prénom</t>
  </si>
  <si>
    <t>Sept</t>
  </si>
  <si>
    <t>URSSAF :</t>
  </si>
  <si>
    <t>Indemnité congés payés</t>
  </si>
  <si>
    <t>Total cotisation</t>
  </si>
  <si>
    <t>Entreprise créée avant le 01/01/97 et ayant employé des salariés avant cette date ?</t>
  </si>
  <si>
    <t>Rubriques complémentaires (4 dernières lignes)</t>
  </si>
  <si>
    <t>Gain</t>
  </si>
  <si>
    <t>Oct</t>
  </si>
  <si>
    <t>Catégorie</t>
  </si>
  <si>
    <t>CSG déductible</t>
  </si>
  <si>
    <t>IJSS</t>
  </si>
  <si>
    <t>Oui</t>
  </si>
  <si>
    <t>URSSAF</t>
  </si>
  <si>
    <t>Assedic T B</t>
  </si>
  <si>
    <t>Pour information :</t>
  </si>
  <si>
    <t>Conv. Coll :</t>
  </si>
  <si>
    <t>Année en cours</t>
  </si>
  <si>
    <t>Transport</t>
  </si>
  <si>
    <t>Maladie, Maternité, Veuvage</t>
  </si>
  <si>
    <t>Assurance maladie</t>
  </si>
  <si>
    <t>Base</t>
  </si>
  <si>
    <t>du</t>
  </si>
  <si>
    <t>Déc</t>
  </si>
  <si>
    <t>Vieillesse Plafonnée</t>
  </si>
  <si>
    <t>Siret</t>
  </si>
  <si>
    <t>Téléphone</t>
  </si>
  <si>
    <t>Maladie :</t>
  </si>
  <si>
    <t>CSG - RDS non déductible</t>
  </si>
  <si>
    <t>Autre (saisir à la place du texte)</t>
  </si>
  <si>
    <t>Smic horaire</t>
  </si>
  <si>
    <t>Horaire mensuel</t>
  </si>
  <si>
    <t>Participation Formation (+10 sal)</t>
  </si>
  <si>
    <t>Ancienneté</t>
  </si>
  <si>
    <t>SALARIE(E)</t>
  </si>
  <si>
    <t>Tel :</t>
  </si>
  <si>
    <t>Urssaf</t>
  </si>
  <si>
    <t>Heures supplémentaire majorées :</t>
  </si>
  <si>
    <t>Août</t>
  </si>
  <si>
    <t>Raison sociale</t>
  </si>
  <si>
    <t>N° Sécurité Sociale</t>
  </si>
  <si>
    <t>Taux</t>
  </si>
  <si>
    <t>CET</t>
  </si>
  <si>
    <t>Ville</t>
  </si>
  <si>
    <t>Cumul année</t>
  </si>
  <si>
    <t>GARP</t>
  </si>
  <si>
    <t>Apec</t>
  </si>
  <si>
    <t>Févr</t>
  </si>
  <si>
    <t>Juil</t>
  </si>
  <si>
    <t>Juin</t>
  </si>
  <si>
    <t>00 00 00 00 00</t>
  </si>
  <si>
    <t>GARP :</t>
  </si>
  <si>
    <t>Acquis</t>
  </si>
  <si>
    <t>Vieillesse déplafonnée</t>
  </si>
  <si>
    <t>Primes, avantages :</t>
  </si>
  <si>
    <t>Sécurité sociale</t>
  </si>
  <si>
    <t>Plafond Sécurité Sociale</t>
  </si>
  <si>
    <t>Avr</t>
  </si>
  <si>
    <t>APE :</t>
  </si>
  <si>
    <t>Absences congés payés :</t>
  </si>
  <si>
    <t>Congés</t>
  </si>
  <si>
    <t>Accident du travail</t>
  </si>
  <si>
    <t>012</t>
  </si>
  <si>
    <t>Aide financière 35 heures ?</t>
  </si>
  <si>
    <t>Date d'entrée</t>
  </si>
  <si>
    <t>IJSS :</t>
  </si>
  <si>
    <t>Horaire</t>
  </si>
  <si>
    <t>C. Postal</t>
  </si>
  <si>
    <t>Echelon</t>
  </si>
  <si>
    <t>Nombre</t>
  </si>
  <si>
    <t>Total salaire brut</t>
  </si>
  <si>
    <t>Heures supplémentaires :</t>
  </si>
  <si>
    <t>Code Postal</t>
  </si>
  <si>
    <t>Janv</t>
  </si>
  <si>
    <t>FNAL déplafonné</t>
  </si>
  <si>
    <t>N° S.S.</t>
  </si>
  <si>
    <t>IV</t>
  </si>
  <si>
    <t>Indemnité congés payés :</t>
  </si>
  <si>
    <t>Adresse 2</t>
  </si>
  <si>
    <t>Mai</t>
  </si>
  <si>
    <t>Adresse 1</t>
  </si>
  <si>
    <t>Restant</t>
  </si>
  <si>
    <t>Lien internet pour maj des taux :</t>
  </si>
  <si>
    <t>Retraite cadre T A</t>
  </si>
  <si>
    <t>Fax :</t>
  </si>
  <si>
    <t>Retraite cadre T B</t>
  </si>
  <si>
    <t>Premier Salarié</t>
  </si>
  <si>
    <t>Allocation familiale</t>
  </si>
  <si>
    <t>Participation Construction</t>
  </si>
  <si>
    <t>Entreprise de + de 9 salariés ?</t>
  </si>
  <si>
    <t>AGFF cadre T A</t>
  </si>
  <si>
    <t>Code postal</t>
  </si>
  <si>
    <t>AGFF cadre T B</t>
  </si>
  <si>
    <t>Rubrique</t>
  </si>
  <si>
    <t>Salaire</t>
  </si>
  <si>
    <t>Part salariale
Taux</t>
  </si>
  <si>
    <t>Ticket restaurant</t>
  </si>
  <si>
    <t>Adresse 1 du salarié</t>
  </si>
  <si>
    <t>Assurance veuvage</t>
  </si>
  <si>
    <t>Part patronale
Taux</t>
  </si>
  <si>
    <t>FNAL</t>
  </si>
  <si>
    <t>Mars</t>
  </si>
  <si>
    <t>Assurance décès</t>
  </si>
  <si>
    <t>Prévoyance TA</t>
  </si>
  <si>
    <t>Pris</t>
  </si>
  <si>
    <t>Siret :</t>
  </si>
  <si>
    <t>http://www.paie.org/cotisations.php</t>
  </si>
  <si>
    <t>Assedic</t>
  </si>
  <si>
    <t>Cadre</t>
  </si>
  <si>
    <t>Intitulé</t>
  </si>
  <si>
    <t>Coefficient</t>
  </si>
  <si>
    <t>Base horaire (en euros)</t>
  </si>
  <si>
    <t>Indice</t>
  </si>
  <si>
    <t>Total brut</t>
  </si>
  <si>
    <t>Intitulé de l'emploi</t>
  </si>
  <si>
    <t>Taxe 8% Prévoyance</t>
  </si>
  <si>
    <t>APE</t>
  </si>
  <si>
    <t>Rtt</t>
  </si>
  <si>
    <t>Fax</t>
  </si>
  <si>
    <t xml:space="preserve">Assedic T A </t>
  </si>
  <si>
    <t>Nov</t>
  </si>
  <si>
    <t>Nombre d'heure par mois</t>
  </si>
  <si>
    <t>Part Salariale</t>
  </si>
  <si>
    <t>Salaire mensuel</t>
  </si>
  <si>
    <t>BULLETIN DE SALAIRE</t>
  </si>
  <si>
    <t>Non Cadre</t>
  </si>
  <si>
    <t>au</t>
  </si>
  <si>
    <t>Net imposable</t>
  </si>
  <si>
    <t>Non cadre</t>
  </si>
  <si>
    <t>Non</t>
  </si>
  <si>
    <t>Nom</t>
  </si>
  <si>
    <t>Adresse 2 de la société</t>
  </si>
  <si>
    <t>Adresse 2 du salarié</t>
  </si>
  <si>
    <t>Part Patronale</t>
  </si>
  <si>
    <t>Société</t>
  </si>
  <si>
    <t>non</t>
  </si>
  <si>
    <t>oui</t>
  </si>
  <si>
    <t>Prévoyance ouvrier  pro btp TA</t>
  </si>
  <si>
    <t>4120A</t>
  </si>
  <si>
    <t>BATIMENT REGION PARISIENNE 3032</t>
  </si>
  <si>
    <t>SARL</t>
  </si>
  <si>
    <t>41 Bd</t>
  </si>
  <si>
    <t xml:space="preserve">paris </t>
  </si>
  <si>
    <t>000000000000000000</t>
  </si>
  <si>
    <t>Nature</t>
  </si>
  <si>
    <t>Assiette</t>
  </si>
  <si>
    <t>Part salariale</t>
  </si>
  <si>
    <t>Part patronale</t>
  </si>
  <si>
    <t>CSG non déductible</t>
  </si>
  <si>
    <r>
      <t xml:space="preserve">97% des revenus </t>
    </r>
    <r>
      <rPr>
        <i/>
        <sz val="10"/>
        <rFont val="Arial"/>
        <family val="2"/>
      </rPr>
      <t>(*1)</t>
    </r>
  </si>
  <si>
    <t>-</t>
  </si>
  <si>
    <t>CRDS</t>
  </si>
  <si>
    <r>
      <t xml:space="preserve">97% </t>
    </r>
    <r>
      <rPr>
        <i/>
        <sz val="10"/>
        <rFont val="Arial"/>
        <family val="2"/>
      </rPr>
      <t>des revenus (*1)</t>
    </r>
  </si>
  <si>
    <t>Assurance maladie, maternité, invalidité, décès, solidarité des personnes âgées et handicapées</t>
  </si>
  <si>
    <t>salaire total</t>
  </si>
  <si>
    <t>0,75% ou</t>
  </si>
  <si>
    <r>
      <t>2,35%</t>
    </r>
    <r>
      <rPr>
        <i/>
        <sz val="10"/>
        <rFont val="Arial"/>
        <family val="2"/>
      </rPr>
      <t xml:space="preserve"> (*3) </t>
    </r>
  </si>
  <si>
    <t>Vieillesse plafonnée</t>
  </si>
  <si>
    <t>plafond de sécurité sociale</t>
  </si>
  <si>
    <t>Allocations familiales</t>
  </si>
  <si>
    <t>taux variable</t>
  </si>
  <si>
    <r>
      <t>Prévoyance</t>
    </r>
    <r>
      <rPr>
        <sz val="10"/>
        <rFont val="Arial"/>
        <family val="2"/>
      </rPr>
      <t xml:space="preserve"> (entreprise 10 salariés et plus)</t>
    </r>
  </si>
  <si>
    <t>contribution patronale de prévoyance complémentaire</t>
  </si>
  <si>
    <r>
      <t>FNAL</t>
    </r>
    <r>
      <rPr>
        <sz val="10"/>
        <rFont val="Arial"/>
        <family val="2"/>
      </rPr>
      <t xml:space="preserve"> tout employeur</t>
    </r>
  </si>
  <si>
    <r>
      <t>FNAL</t>
    </r>
    <r>
      <rPr>
        <sz val="10"/>
        <rFont val="Arial"/>
        <family val="2"/>
      </rPr>
      <t xml:space="preserve"> (entreprise 20 salariés et plus, y compris Etat, EPA et collectivités)</t>
    </r>
  </si>
  <si>
    <t>(soit au total 0,50%)</t>
  </si>
  <si>
    <r>
      <t>Versement de transport</t>
    </r>
    <r>
      <rPr>
        <sz val="10"/>
        <rFont val="Arial"/>
        <family val="2"/>
      </rPr>
      <t xml:space="preserve"> (entreprise 10 salariés et plus dans certaines agglomérations)</t>
    </r>
  </si>
  <si>
    <t>Assurance chômage</t>
  </si>
  <si>
    <r>
      <t xml:space="preserve">tranche A + B : de 0 à </t>
    </r>
    <r>
      <rPr>
        <b/>
        <i/>
        <sz val="10"/>
        <rFont val="Arial"/>
        <family val="2"/>
      </rPr>
      <t xml:space="preserve">11.784 euros </t>
    </r>
  </si>
  <si>
    <t>AGS (FNGS)</t>
  </si>
  <si>
    <t>Retraite complémentaire</t>
  </si>
  <si>
    <t>Salariés non-cadres</t>
  </si>
  <si>
    <t>ARRCO tranche 1/A</t>
  </si>
  <si>
    <t>tranche 1/A (AGFF)</t>
  </si>
  <si>
    <t>ARRCO tranche 2</t>
  </si>
  <si>
    <t>tranche 2 (AGFF)</t>
  </si>
  <si>
    <t>Salariés cadres</t>
  </si>
  <si>
    <t>ARRCO tranche A</t>
  </si>
  <si>
    <t>(répartition 40/60 - taux minimal)</t>
  </si>
  <si>
    <t>tranche A (AGFF)</t>
  </si>
  <si>
    <t>AGIRC et GMP tranche B</t>
  </si>
  <si>
    <t>tranche B (AGFF)</t>
  </si>
  <si>
    <t>tranche C (AGIRC)</t>
  </si>
  <si>
    <t>(*2)</t>
  </si>
  <si>
    <t>CET (contribution exceptionnelle et temporaire versée à l'Agirc)</t>
  </si>
  <si>
    <t>tranche A+B+C</t>
  </si>
  <si>
    <t>APEC (versée à l'Agirc)***</t>
  </si>
  <si>
    <t>tranche B***</t>
  </si>
  <si>
    <t>Assurance décès cadres</t>
  </si>
  <si>
    <t>tranche A</t>
  </si>
  <si>
    <r>
      <t>Effort à la construction</t>
    </r>
    <r>
      <rPr>
        <sz val="10"/>
        <rFont val="Arial"/>
        <family val="2"/>
      </rPr>
      <t xml:space="preserve"> (entreprise 20 salariés et plus)</t>
    </r>
  </si>
  <si>
    <t>Taxe d'apprentissage</t>
  </si>
  <si>
    <t>0,50% (0,60%**) ou</t>
  </si>
  <si>
    <t>0,26% (0,312%**) en Alsace-Moselle</t>
  </si>
  <si>
    <t>Contribution additionnelle au développement de l'apprentissage</t>
  </si>
  <si>
    <r>
      <t xml:space="preserve">Formation professionnelle </t>
    </r>
    <r>
      <rPr>
        <sz val="10"/>
        <rFont val="Arial"/>
        <family val="2"/>
      </rPr>
      <t>(entreprise de 20 salariés et plus)</t>
    </r>
  </si>
  <si>
    <t>1,60% ou</t>
  </si>
  <si>
    <t>2% entreprise de travail temporaire</t>
  </si>
  <si>
    <r>
      <t xml:space="preserve">Formation professionnelle </t>
    </r>
    <r>
      <rPr>
        <sz val="10"/>
        <rFont val="Arial"/>
        <family val="2"/>
      </rPr>
      <t>(entreprise de 10 à moins de 20 salariés)</t>
    </r>
  </si>
  <si>
    <r>
      <t xml:space="preserve">Formation professionnelle </t>
    </r>
    <r>
      <rPr>
        <sz val="10"/>
        <rFont val="Arial"/>
        <family val="2"/>
      </rPr>
      <t>(entreprise de moins de 10 salariés)</t>
    </r>
  </si>
  <si>
    <r>
      <t xml:space="preserve">Taxe sur les salaries </t>
    </r>
    <r>
      <rPr>
        <sz val="10"/>
        <rFont val="Arial"/>
        <family val="2"/>
      </rPr>
      <t>(pour ceux non-assujettis à la TVA)</t>
    </r>
  </si>
  <si>
    <r>
      <t>Plafond de sécurité sociale au 1er janvier 2011 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 à 2.946 euros</t>
    </r>
  </si>
  <si>
    <r>
      <t>Tranche A</t>
    </r>
    <r>
      <rPr>
        <sz val="10"/>
        <rFont val="Arial"/>
        <family val="2"/>
      </rPr>
      <t xml:space="preserve"> : dans la limite du plafond de la Sécurité sociale, de </t>
    </r>
    <r>
      <rPr>
        <b/>
        <sz val="10"/>
        <rFont val="Arial"/>
        <family val="2"/>
      </rPr>
      <t>0 à 2.946 euros</t>
    </r>
  </si>
  <si>
    <r>
      <t>Tranche B</t>
    </r>
    <r>
      <rPr>
        <sz val="10"/>
        <rFont val="Arial"/>
        <family val="2"/>
      </rPr>
      <t xml:space="preserve"> : de 1 à 4 fois le plafond de la Sécurité sociale, </t>
    </r>
    <r>
      <rPr>
        <b/>
        <sz val="10"/>
        <rFont val="Arial"/>
        <family val="2"/>
      </rPr>
      <t>2.946 euros à 11.784 euros</t>
    </r>
  </si>
  <si>
    <r>
      <t>Tranche C</t>
    </r>
    <r>
      <rPr>
        <sz val="10"/>
        <rFont val="Arial"/>
        <family val="2"/>
      </rPr>
      <t xml:space="preserve"> : </t>
    </r>
    <r>
      <rPr>
        <b/>
        <sz val="10"/>
        <rFont val="Arial"/>
        <family val="2"/>
      </rPr>
      <t>de 11.784 à 23.568 euros</t>
    </r>
  </si>
  <si>
    <r>
      <t>Tranche A+B+C</t>
    </r>
    <r>
      <rPr>
        <sz val="10"/>
        <rFont val="Arial"/>
        <family val="2"/>
      </rPr>
      <t xml:space="preserve"> : </t>
    </r>
    <r>
      <rPr>
        <b/>
        <sz val="10"/>
        <rFont val="Arial"/>
        <family val="2"/>
      </rPr>
      <t>de 0 à 23.568 euros</t>
    </r>
  </si>
  <si>
    <r>
      <t>Tranche 1</t>
    </r>
    <r>
      <rPr>
        <sz val="10"/>
        <rFont val="Arial"/>
        <family val="2"/>
      </rPr>
      <t xml:space="preserve"> : </t>
    </r>
    <r>
      <rPr>
        <b/>
        <sz val="10"/>
        <rFont val="Arial"/>
        <family val="2"/>
      </rPr>
      <t>de 0 à 2.946 euros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(équivalent de la Tranche A)</t>
    </r>
  </si>
  <si>
    <r>
      <t>Tranche 2</t>
    </r>
    <r>
      <rPr>
        <sz val="10"/>
        <rFont val="Arial"/>
        <family val="2"/>
      </rPr>
      <t xml:space="preserve"> : </t>
    </r>
    <r>
      <rPr>
        <b/>
        <sz val="10"/>
        <rFont val="Arial"/>
        <family val="2"/>
      </rPr>
      <t>de 2.946 euros à 8.838 euros</t>
    </r>
  </si>
  <si>
    <r>
      <t>(*1)</t>
    </r>
    <r>
      <rPr>
        <sz val="10"/>
        <rFont val="Arial"/>
        <family val="2"/>
      </rPr>
      <t> : la CSG et la CRDS sont calculées sur le montant brut des revenus suivants : salaires, primes et indemnités diverses, avantages en nature ou en espèces (sauf si la rémunération est exclusivement constituée d'avantages en nature).</t>
    </r>
  </si>
  <si>
    <t>A compter du 1er janvier 2011, l'abattement de 3% sur l'assiette de la CSG et de la CRDS est limité à 4 plafonds de la sécurité sociale (soit 11.784 euros). Au-delà du plafond, les cotisations s'appliquent sur 100% des revenus.</t>
  </si>
  <si>
    <t>Le champ d'application de cet abattement n'est pas modifié. Tous les revenus d'activité soumis à CSG-CRDS (tels que l'intéressement ou les contributions patronales de prévoyance) sont pris en compte pour l'appréciation de la limite des 4 plafonds de la sécurité sociale.</t>
  </si>
  <si>
    <r>
      <t>(*2)</t>
    </r>
    <r>
      <rPr>
        <sz val="10"/>
        <rFont val="Arial"/>
        <family val="2"/>
      </rPr>
      <t> : taux minimum de cotisation (20,30%) sur la tranche C ou taux en tranche B (répartition libre entre la part patronale et salariale)</t>
    </r>
  </si>
  <si>
    <r>
      <t>(*3)</t>
    </r>
    <r>
      <rPr>
        <sz val="10"/>
        <rFont val="Arial"/>
        <family val="2"/>
      </rPr>
      <t> : en Alsace-Moselle, Haut et Bas-Rhin à compter du 1er janvier 2009, la cotisation supplémentaire est de 1,60%</t>
    </r>
  </si>
  <si>
    <t xml:space="preserve">Taux à modifier </t>
  </si>
  <si>
    <t xml:space="preserve">dans la feuille Param taux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</si>
</sst>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#\ ##\ ##\ ##\ ##"/>
    <numFmt numFmtId="166" formatCode="00,000,000,000,000"/>
    <numFmt numFmtId="167" formatCode="###\ ################"/>
    <numFmt numFmtId="168" formatCode="[&gt;=3000000000000]#\ ##\ ##\ ##\ ###\ ###\ \|\ ##;#\ ##\ ##\ ##\ ###\ ###"/>
    <numFmt numFmtId="169" formatCode="m/d/yy;@"/>
    <numFmt numFmtId="170" formatCode="0.000%"/>
    <numFmt numFmtId="171" formatCode="00000"/>
    <numFmt numFmtId="172" formatCode="#######\ #####"/>
    <numFmt numFmtId="173" formatCode="#,##0.00\ [$€-1]"/>
    <numFmt numFmtId="174" formatCode="d\ mmmm\ yyyy;@"/>
    <numFmt numFmtId="175" formatCode="mm/dd/yy;@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65">
    <font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"/>
      <color indexed="17"/>
      <name val="Arial"/>
      <family val="2"/>
    </font>
    <font>
      <sz val="12"/>
      <color indexed="56"/>
      <name val="Arial"/>
      <family val="2"/>
    </font>
    <font>
      <sz val="9"/>
      <color indexed="5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9"/>
      <color indexed="60"/>
      <name val="Arial"/>
      <family val="2"/>
    </font>
    <font>
      <sz val="6"/>
      <color indexed="36"/>
      <name val="Arial"/>
      <family val="2"/>
    </font>
    <font>
      <b/>
      <sz val="8"/>
      <color indexed="36"/>
      <name val="Arial"/>
      <family val="2"/>
    </font>
    <font>
      <b/>
      <sz val="14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39"/>
      <name val="Arial"/>
      <family val="2"/>
    </font>
    <font>
      <b/>
      <sz val="12"/>
      <color indexed="8"/>
      <name val="Arial"/>
      <family val="2"/>
    </font>
    <font>
      <u val="single"/>
      <sz val="10"/>
      <color indexed="3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u val="single"/>
      <sz val="10"/>
      <color indexed="10"/>
      <name val="Arial"/>
      <family val="2"/>
    </font>
    <font>
      <u val="single"/>
      <sz val="10"/>
      <color indexed="9"/>
      <name val="Arial"/>
      <family val="2"/>
    </font>
    <font>
      <sz val="16"/>
      <color indexed="53"/>
      <name val="Arial"/>
      <family val="2"/>
    </font>
    <font>
      <sz val="26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FF0000"/>
      <name val="Arial"/>
      <family val="2"/>
    </font>
    <font>
      <sz val="26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165" fontId="8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166" fontId="8" fillId="33" borderId="0" xfId="0" applyNumberFormat="1" applyFont="1" applyFill="1" applyBorder="1" applyAlignment="1" applyProtection="1">
      <alignment horizontal="left"/>
      <protection/>
    </xf>
    <xf numFmtId="167" fontId="8" fillId="33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168" fontId="10" fillId="0" borderId="0" xfId="0" applyNumberFormat="1" applyFont="1" applyFill="1" applyBorder="1" applyAlignment="1" applyProtection="1">
      <alignment horizontal="left"/>
      <protection/>
    </xf>
    <xf numFmtId="169" fontId="10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9" fillId="34" borderId="13" xfId="0" applyNumberFormat="1" applyFont="1" applyFill="1" applyBorder="1" applyAlignment="1" applyProtection="1">
      <alignment horizontal="left"/>
      <protection/>
    </xf>
    <xf numFmtId="169" fontId="10" fillId="34" borderId="13" xfId="0" applyNumberFormat="1" applyFont="1" applyFill="1" applyBorder="1" applyAlignment="1" applyProtection="1">
      <alignment horizontal="left"/>
      <protection/>
    </xf>
    <xf numFmtId="0" fontId="3" fillId="34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left" vertical="center"/>
      <protection/>
    </xf>
    <xf numFmtId="0" fontId="8" fillId="34" borderId="15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2" fontId="7" fillId="0" borderId="16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/>
      <protection/>
    </xf>
    <xf numFmtId="170" fontId="7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2" fontId="7" fillId="0" borderId="17" xfId="0" applyNumberFormat="1" applyFont="1" applyFill="1" applyBorder="1" applyAlignment="1" applyProtection="1">
      <alignment horizontal="right"/>
      <protection/>
    </xf>
    <xf numFmtId="170" fontId="7" fillId="0" borderId="17" xfId="0" applyNumberFormat="1" applyFont="1" applyFill="1" applyBorder="1" applyAlignment="1" applyProtection="1">
      <alignment horizontal="right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left"/>
      <protection/>
    </xf>
    <xf numFmtId="2" fontId="7" fillId="0" borderId="13" xfId="0" applyNumberFormat="1" applyFont="1" applyFill="1" applyBorder="1" applyAlignment="1" applyProtection="1">
      <alignment horizontal="right"/>
      <protection/>
    </xf>
    <xf numFmtId="170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2" fontId="7" fillId="0" borderId="15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NumberFormat="1" applyFont="1" applyFill="1" applyBorder="1" applyAlignment="1" applyProtection="1">
      <alignment horizontal="left"/>
      <protection/>
    </xf>
    <xf numFmtId="2" fontId="8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NumberFormat="1" applyFont="1" applyFill="1" applyBorder="1" applyAlignment="1" applyProtection="1">
      <alignment horizontal="right"/>
      <protection/>
    </xf>
    <xf numFmtId="165" fontId="8" fillId="34" borderId="0" xfId="0" applyNumberFormat="1" applyFont="1" applyFill="1" applyBorder="1" applyAlignment="1" applyProtection="1">
      <alignment horizontal="left"/>
      <protection/>
    </xf>
    <xf numFmtId="172" fontId="8" fillId="34" borderId="0" xfId="0" applyNumberFormat="1" applyFont="1" applyFill="1" applyBorder="1" applyAlignment="1" applyProtection="1">
      <alignment horizontal="left"/>
      <protection/>
    </xf>
    <xf numFmtId="49" fontId="8" fillId="34" borderId="0" xfId="0" applyNumberFormat="1" applyFont="1" applyFill="1" applyBorder="1" applyAlignment="1" applyProtection="1">
      <alignment horizontal="left"/>
      <protection/>
    </xf>
    <xf numFmtId="167" fontId="8" fillId="34" borderId="0" xfId="0" applyNumberFormat="1" applyFont="1" applyFill="1" applyBorder="1" applyAlignment="1" applyProtection="1">
      <alignment horizontal="left"/>
      <protection/>
    </xf>
    <xf numFmtId="0" fontId="14" fillId="0" borderId="16" xfId="0" applyNumberFormat="1" applyFont="1" applyFill="1" applyBorder="1" applyAlignment="1" applyProtection="1">
      <alignment horizontal="left"/>
      <protection/>
    </xf>
    <xf numFmtId="0" fontId="15" fillId="35" borderId="0" xfId="0" applyNumberFormat="1" applyFont="1" applyFill="1" applyBorder="1" applyAlignment="1" applyProtection="1">
      <alignment horizontal="left"/>
      <protection/>
    </xf>
    <xf numFmtId="0" fontId="3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NumberFormat="1" applyFont="1" applyFill="1" applyBorder="1" applyAlignment="1" applyProtection="1">
      <alignment horizontal="left"/>
      <protection/>
    </xf>
    <xf numFmtId="2" fontId="3" fillId="35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3" fillId="35" borderId="0" xfId="0" applyNumberFormat="1" applyFont="1" applyFill="1" applyBorder="1" applyAlignment="1" applyProtection="1">
      <alignment horizontal="left"/>
      <protection/>
    </xf>
    <xf numFmtId="0" fontId="15" fillId="33" borderId="0" xfId="0" applyNumberFormat="1" applyFont="1" applyFill="1" applyBorder="1" applyAlignment="1" applyProtection="1">
      <alignment horizontal="left"/>
      <protection/>
    </xf>
    <xf numFmtId="0" fontId="15" fillId="33" borderId="10" xfId="0" applyNumberFormat="1" applyFont="1" applyFill="1" applyBorder="1" applyAlignment="1" applyProtection="1">
      <alignment horizontal="left"/>
      <protection/>
    </xf>
    <xf numFmtId="0" fontId="16" fillId="33" borderId="10" xfId="0" applyNumberFormat="1" applyFont="1" applyFill="1" applyBorder="1" applyAlignment="1" applyProtection="1">
      <alignment horizontal="left"/>
      <protection/>
    </xf>
    <xf numFmtId="0" fontId="3" fillId="35" borderId="19" xfId="0" applyNumberFormat="1" applyFont="1" applyFill="1" applyBorder="1" applyAlignment="1" applyProtection="1">
      <alignment horizontal="left"/>
      <protection/>
    </xf>
    <xf numFmtId="0" fontId="15" fillId="35" borderId="18" xfId="0" applyNumberFormat="1" applyFont="1" applyFill="1" applyBorder="1" applyAlignment="1" applyProtection="1">
      <alignment horizontal="left"/>
      <protection/>
    </xf>
    <xf numFmtId="0" fontId="15" fillId="35" borderId="18" xfId="0" applyNumberFormat="1" applyFont="1" applyFill="1" applyBorder="1" applyAlignment="1" applyProtection="1">
      <alignment horizontal="center" wrapText="1"/>
      <protection/>
    </xf>
    <xf numFmtId="0" fontId="15" fillId="35" borderId="20" xfId="0" applyNumberFormat="1" applyFont="1" applyFill="1" applyBorder="1" applyAlignment="1" applyProtection="1">
      <alignment horizontal="center" wrapText="1"/>
      <protection/>
    </xf>
    <xf numFmtId="0" fontId="3" fillId="35" borderId="21" xfId="0" applyNumberFormat="1" applyFont="1" applyFill="1" applyBorder="1" applyAlignment="1" applyProtection="1">
      <alignment horizontal="left"/>
      <protection/>
    </xf>
    <xf numFmtId="0" fontId="15" fillId="35" borderId="10" xfId="0" applyNumberFormat="1" applyFont="1" applyFill="1" applyBorder="1" applyAlignment="1" applyProtection="1">
      <alignment horizontal="left"/>
      <protection/>
    </xf>
    <xf numFmtId="0" fontId="15" fillId="35" borderId="10" xfId="0" applyNumberFormat="1" applyFont="1" applyFill="1" applyBorder="1" applyAlignment="1" applyProtection="1">
      <alignment horizontal="center"/>
      <protection/>
    </xf>
    <xf numFmtId="0" fontId="15" fillId="35" borderId="22" xfId="0" applyNumberFormat="1" applyFont="1" applyFill="1" applyBorder="1" applyAlignment="1" applyProtection="1">
      <alignment horizontal="center"/>
      <protection/>
    </xf>
    <xf numFmtId="0" fontId="17" fillId="35" borderId="13" xfId="0" applyNumberFormat="1" applyFont="1" applyFill="1" applyBorder="1" applyAlignment="1" applyProtection="1">
      <alignment horizontal="center" vertical="center"/>
      <protection/>
    </xf>
    <xf numFmtId="0" fontId="15" fillId="35" borderId="13" xfId="0" applyNumberFormat="1" applyFont="1" applyFill="1" applyBorder="1" applyAlignment="1" applyProtection="1">
      <alignment horizontal="left"/>
      <protection/>
    </xf>
    <xf numFmtId="170" fontId="3" fillId="35" borderId="13" xfId="0" applyNumberFormat="1" applyFont="1" applyFill="1" applyBorder="1" applyAlignment="1" applyProtection="1">
      <alignment horizontal="right"/>
      <protection/>
    </xf>
    <xf numFmtId="0" fontId="3" fillId="35" borderId="13" xfId="0" applyNumberFormat="1" applyFont="1" applyFill="1" applyBorder="1" applyAlignment="1" applyProtection="1">
      <alignment horizontal="center" vertical="center"/>
      <protection/>
    </xf>
    <xf numFmtId="0" fontId="3" fillId="35" borderId="13" xfId="0" applyNumberFormat="1" applyFont="1" applyFill="1" applyBorder="1" applyAlignment="1" applyProtection="1">
      <alignment horizontal="left"/>
      <protection/>
    </xf>
    <xf numFmtId="0" fontId="17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5" fillId="34" borderId="13" xfId="0" applyNumberFormat="1" applyFont="1" applyFill="1" applyBorder="1" applyAlignment="1" applyProtection="1">
      <alignment horizontal="center" wrapText="1"/>
      <protection/>
    </xf>
    <xf numFmtId="0" fontId="15" fillId="34" borderId="13" xfId="0" applyNumberFormat="1" applyFont="1" applyFill="1" applyBorder="1" applyAlignment="1" applyProtection="1">
      <alignment horizontal="left"/>
      <protection/>
    </xf>
    <xf numFmtId="170" fontId="3" fillId="34" borderId="13" xfId="0" applyNumberFormat="1" applyFont="1" applyFill="1" applyBorder="1" applyAlignment="1" applyProtection="1">
      <alignment horizontal="right"/>
      <protection/>
    </xf>
    <xf numFmtId="0" fontId="15" fillId="0" borderId="13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173" fontId="3" fillId="0" borderId="13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5" fillId="36" borderId="19" xfId="0" applyNumberFormat="1" applyFont="1" applyFill="1" applyBorder="1" applyAlignment="1" applyProtection="1">
      <alignment horizontal="left"/>
      <protection/>
    </xf>
    <xf numFmtId="0" fontId="15" fillId="36" borderId="12" xfId="0" applyNumberFormat="1" applyFont="1" applyFill="1" applyBorder="1" applyAlignment="1" applyProtection="1">
      <alignment horizontal="left"/>
      <protection/>
    </xf>
    <xf numFmtId="0" fontId="3" fillId="36" borderId="0" xfId="0" applyNumberFormat="1" applyFont="1" applyFill="1" applyBorder="1" applyAlignment="1" applyProtection="1">
      <alignment horizontal="left"/>
      <protection/>
    </xf>
    <xf numFmtId="0" fontId="3" fillId="36" borderId="11" xfId="0" applyNumberFormat="1" applyFont="1" applyFill="1" applyBorder="1" applyAlignment="1" applyProtection="1">
      <alignment horizontal="left"/>
      <protection/>
    </xf>
    <xf numFmtId="0" fontId="15" fillId="36" borderId="21" xfId="0" applyNumberFormat="1" applyFont="1" applyFill="1" applyBorder="1" applyAlignment="1" applyProtection="1">
      <alignment horizontal="left"/>
      <protection/>
    </xf>
    <xf numFmtId="0" fontId="15" fillId="36" borderId="2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14" fontId="0" fillId="0" borderId="0" xfId="0" applyNumberFormat="1" applyAlignment="1">
      <alignment vertical="center"/>
    </xf>
    <xf numFmtId="14" fontId="3" fillId="0" borderId="16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9" fontId="0" fillId="0" borderId="0" xfId="0" applyNumberForma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9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4" borderId="13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2" fillId="34" borderId="13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8" fillId="34" borderId="0" xfId="0" applyNumberFormat="1" applyFont="1" applyFill="1" applyBorder="1" applyAlignment="1" applyProtection="1">
      <alignment horizontal="right"/>
      <protection/>
    </xf>
    <xf numFmtId="171" fontId="3" fillId="0" borderId="0" xfId="0" applyNumberFormat="1" applyFont="1" applyFill="1" applyBorder="1" applyAlignment="1" applyProtection="1">
      <alignment horizontal="left" vertical="center"/>
      <protection/>
    </xf>
    <xf numFmtId="0" fontId="8" fillId="34" borderId="0" xfId="0" applyNumberFormat="1" applyFont="1" applyFill="1" applyBorder="1" applyAlignment="1" applyProtection="1">
      <alignment horizontal="right" vertical="center"/>
      <protection/>
    </xf>
    <xf numFmtId="0" fontId="8" fillId="34" borderId="0" xfId="0" applyNumberFormat="1" applyFont="1" applyFill="1" applyBorder="1" applyAlignment="1" applyProtection="1">
      <alignment horizontal="left" vertical="center" wrapText="1"/>
      <protection/>
    </xf>
    <xf numFmtId="0" fontId="13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NumberFormat="1" applyFont="1" applyFill="1" applyBorder="1" applyAlignment="1" applyProtection="1">
      <alignment horizontal="left"/>
      <protection/>
    </xf>
    <xf numFmtId="171" fontId="5" fillId="34" borderId="0" xfId="0" applyNumberFormat="1" applyFont="1" applyFill="1" applyBorder="1" applyAlignment="1" applyProtection="1">
      <alignment horizontal="left"/>
      <protection/>
    </xf>
    <xf numFmtId="0" fontId="3" fillId="34" borderId="13" xfId="0" applyNumberFormat="1" applyFont="1" applyFill="1" applyBorder="1" applyAlignment="1" applyProtection="1">
      <alignment horizontal="center"/>
      <protection/>
    </xf>
    <xf numFmtId="0" fontId="15" fillId="35" borderId="0" xfId="0" applyNumberFormat="1" applyFont="1" applyFill="1" applyBorder="1" applyAlignment="1" applyProtection="1">
      <alignment horizontal="left"/>
      <protection/>
    </xf>
    <xf numFmtId="0" fontId="3" fillId="35" borderId="0" xfId="0" applyNumberFormat="1" applyFont="1" applyFill="1" applyBorder="1" applyAlignment="1" applyProtection="1">
      <alignment horizontal="left"/>
      <protection/>
    </xf>
    <xf numFmtId="0" fontId="15" fillId="35" borderId="0" xfId="0" applyNumberFormat="1" applyFont="1" applyFill="1" applyBorder="1" applyAlignment="1" applyProtection="1">
      <alignment horizontal="left" wrapText="1"/>
      <protection/>
    </xf>
    <xf numFmtId="49" fontId="3" fillId="36" borderId="0" xfId="0" applyNumberFormat="1" applyFont="1" applyFill="1" applyBorder="1" applyAlignment="1" applyProtection="1">
      <alignment horizontal="left"/>
      <protection/>
    </xf>
    <xf numFmtId="49" fontId="3" fillId="36" borderId="11" xfId="0" applyNumberFormat="1" applyFont="1" applyFill="1" applyBorder="1" applyAlignment="1" applyProtection="1">
      <alignment horizontal="left"/>
      <protection/>
    </xf>
    <xf numFmtId="0" fontId="3" fillId="36" borderId="0" xfId="0" applyNumberFormat="1" applyFont="1" applyFill="1" applyBorder="1" applyAlignment="1" applyProtection="1">
      <alignment horizontal="left"/>
      <protection/>
    </xf>
    <xf numFmtId="0" fontId="3" fillId="36" borderId="11" xfId="0" applyNumberFormat="1" applyFont="1" applyFill="1" applyBorder="1" applyAlignment="1" applyProtection="1">
      <alignment horizontal="left"/>
      <protection/>
    </xf>
    <xf numFmtId="174" fontId="3" fillId="36" borderId="10" xfId="0" applyNumberFormat="1" applyFont="1" applyFill="1" applyBorder="1" applyAlignment="1" applyProtection="1">
      <alignment horizontal="left"/>
      <protection/>
    </xf>
    <xf numFmtId="174" fontId="3" fillId="36" borderId="22" xfId="0" applyNumberFormat="1" applyFont="1" applyFill="1" applyBorder="1" applyAlignment="1" applyProtection="1">
      <alignment horizontal="left"/>
      <protection/>
    </xf>
    <xf numFmtId="171" fontId="3" fillId="36" borderId="0" xfId="0" applyNumberFormat="1" applyFont="1" applyFill="1" applyBorder="1" applyAlignment="1" applyProtection="1">
      <alignment horizontal="left"/>
      <protection/>
    </xf>
    <xf numFmtId="171" fontId="3" fillId="36" borderId="11" xfId="0" applyNumberFormat="1" applyFont="1" applyFill="1" applyBorder="1" applyAlignment="1" applyProtection="1">
      <alignment horizontal="left"/>
      <protection/>
    </xf>
    <xf numFmtId="168" fontId="3" fillId="36" borderId="0" xfId="0" applyNumberFormat="1" applyFont="1" applyFill="1" applyBorder="1" applyAlignment="1" applyProtection="1">
      <alignment horizontal="left"/>
      <protection/>
    </xf>
    <xf numFmtId="168" fontId="3" fillId="36" borderId="11" xfId="0" applyNumberFormat="1" applyFont="1" applyFill="1" applyBorder="1" applyAlignment="1" applyProtection="1">
      <alignment horizontal="left"/>
      <protection/>
    </xf>
    <xf numFmtId="49" fontId="3" fillId="36" borderId="10" xfId="0" applyNumberFormat="1" applyFont="1" applyFill="1" applyBorder="1" applyAlignment="1" applyProtection="1">
      <alignment horizontal="left"/>
      <protection/>
    </xf>
    <xf numFmtId="49" fontId="3" fillId="36" borderId="22" xfId="0" applyNumberFormat="1" applyFont="1" applyFill="1" applyBorder="1" applyAlignment="1" applyProtection="1">
      <alignment horizontal="left"/>
      <protection/>
    </xf>
    <xf numFmtId="0" fontId="3" fillId="36" borderId="14" xfId="0" applyNumberFormat="1" applyFont="1" applyFill="1" applyBorder="1" applyAlignment="1" applyProtection="1">
      <alignment horizontal="left" vertical="center" wrapText="1"/>
      <protection/>
    </xf>
    <xf numFmtId="0" fontId="3" fillId="36" borderId="24" xfId="0" applyNumberFormat="1" applyFont="1" applyFill="1" applyBorder="1" applyAlignment="1" applyProtection="1">
      <alignment horizontal="left" vertical="center" wrapText="1"/>
      <protection/>
    </xf>
    <xf numFmtId="0" fontId="15" fillId="36" borderId="23" xfId="0" applyNumberFormat="1" applyFont="1" applyFill="1" applyBorder="1" applyAlignment="1" applyProtection="1">
      <alignment horizontal="center"/>
      <protection/>
    </xf>
    <xf numFmtId="0" fontId="15" fillId="36" borderId="14" xfId="0" applyNumberFormat="1" applyFont="1" applyFill="1" applyBorder="1" applyAlignment="1" applyProtection="1">
      <alignment horizontal="center"/>
      <protection/>
    </xf>
    <xf numFmtId="0" fontId="15" fillId="36" borderId="24" xfId="0" applyNumberFormat="1" applyFont="1" applyFill="1" applyBorder="1" applyAlignment="1" applyProtection="1">
      <alignment horizontal="center"/>
      <protection/>
    </xf>
    <xf numFmtId="0" fontId="3" fillId="36" borderId="18" xfId="0" applyNumberFormat="1" applyFont="1" applyFill="1" applyBorder="1" applyAlignment="1" applyProtection="1">
      <alignment horizontal="left"/>
      <protection/>
    </xf>
    <xf numFmtId="0" fontId="3" fillId="36" borderId="20" xfId="0" applyNumberFormat="1" applyFont="1" applyFill="1" applyBorder="1" applyAlignment="1" applyProtection="1">
      <alignment horizontal="left"/>
      <protection/>
    </xf>
    <xf numFmtId="165" fontId="3" fillId="36" borderId="0" xfId="0" applyNumberFormat="1" applyFont="1" applyFill="1" applyBorder="1" applyAlignment="1" applyProtection="1">
      <alignment horizontal="left"/>
      <protection/>
    </xf>
    <xf numFmtId="165" fontId="3" fillId="36" borderId="11" xfId="0" applyNumberFormat="1" applyFont="1" applyFill="1" applyBorder="1" applyAlignment="1" applyProtection="1">
      <alignment horizontal="left"/>
      <protection/>
    </xf>
    <xf numFmtId="172" fontId="3" fillId="36" borderId="0" xfId="0" applyNumberFormat="1" applyFont="1" applyFill="1" applyBorder="1" applyAlignment="1" applyProtection="1">
      <alignment horizontal="left"/>
      <protection/>
    </xf>
    <xf numFmtId="172" fontId="3" fillId="36" borderId="11" xfId="0" applyNumberFormat="1" applyFont="1" applyFill="1" applyBorder="1" applyAlignment="1" applyProtection="1">
      <alignment horizontal="left"/>
      <protection/>
    </xf>
    <xf numFmtId="167" fontId="3" fillId="36" borderId="0" xfId="0" applyNumberFormat="1" applyFont="1" applyFill="1" applyBorder="1" applyAlignment="1" applyProtection="1">
      <alignment horizontal="left"/>
      <protection/>
    </xf>
    <xf numFmtId="167" fontId="3" fillId="36" borderId="11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80"/>
      <rgbColor rgb="000000FF"/>
      <rgbColor rgb="0033CCCC"/>
      <rgbColor rgb="00003366"/>
      <rgbColor rgb="00C0C0C0"/>
      <rgbColor rgb="00993300"/>
      <rgbColor rgb="00CCFFCC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68"/>
  <sheetViews>
    <sheetView zoomScalePageLayoutView="0" workbookViewId="0" topLeftCell="A1">
      <selection activeCell="E76" sqref="E76"/>
    </sheetView>
  </sheetViews>
  <sheetFormatPr defaultColWidth="11.421875" defaultRowHeight="12.75"/>
  <cols>
    <col min="2" max="2" width="25.7109375" style="0" customWidth="1"/>
    <col min="3" max="3" width="29.00390625" style="0" customWidth="1"/>
  </cols>
  <sheetData>
    <row r="3" spans="2:5" ht="25.5">
      <c r="B3" s="103" t="s">
        <v>159</v>
      </c>
      <c r="C3" s="104" t="s">
        <v>160</v>
      </c>
      <c r="D3" s="104" t="s">
        <v>161</v>
      </c>
      <c r="E3" s="104" t="s">
        <v>162</v>
      </c>
    </row>
    <row r="4" spans="2:5" ht="12.75">
      <c r="B4" s="103" t="s">
        <v>163</v>
      </c>
      <c r="C4" s="105" t="s">
        <v>164</v>
      </c>
      <c r="D4" s="106">
        <v>0.024</v>
      </c>
      <c r="E4" s="105" t="s">
        <v>165</v>
      </c>
    </row>
    <row r="5" spans="2:5" ht="12.75">
      <c r="B5" s="103" t="s">
        <v>25</v>
      </c>
      <c r="C5" s="105" t="s">
        <v>164</v>
      </c>
      <c r="D5" s="106">
        <v>0.051</v>
      </c>
      <c r="E5" s="105" t="s">
        <v>165</v>
      </c>
    </row>
    <row r="6" spans="2:5" ht="12.75">
      <c r="B6" s="103" t="s">
        <v>166</v>
      </c>
      <c r="C6" s="105" t="s">
        <v>167</v>
      </c>
      <c r="D6" s="106">
        <v>0.005</v>
      </c>
      <c r="E6" s="105" t="s">
        <v>165</v>
      </c>
    </row>
    <row r="7" spans="2:5" ht="12.75">
      <c r="B7" s="107"/>
      <c r="C7" s="105"/>
      <c r="D7" s="105"/>
      <c r="E7" s="105"/>
    </row>
    <row r="8" spans="2:5" ht="127.5" customHeight="1">
      <c r="B8" s="115" t="s">
        <v>168</v>
      </c>
      <c r="C8" s="116" t="s">
        <v>169</v>
      </c>
      <c r="D8" s="105" t="s">
        <v>170</v>
      </c>
      <c r="E8" s="118">
        <v>0.131</v>
      </c>
    </row>
    <row r="9" spans="2:5" ht="12.75">
      <c r="B9" s="115"/>
      <c r="C9" s="116"/>
      <c r="D9" s="105" t="s">
        <v>171</v>
      </c>
      <c r="E9" s="118"/>
    </row>
    <row r="10" spans="2:5" ht="12.75">
      <c r="B10" s="103" t="s">
        <v>172</v>
      </c>
      <c r="C10" s="105" t="s">
        <v>173</v>
      </c>
      <c r="D10" s="106">
        <v>0.0665</v>
      </c>
      <c r="E10" s="106">
        <v>0.083</v>
      </c>
    </row>
    <row r="11" spans="2:5" ht="12.75">
      <c r="B11" s="103" t="s">
        <v>68</v>
      </c>
      <c r="C11" s="105" t="s">
        <v>169</v>
      </c>
      <c r="D11" s="106">
        <v>0.001</v>
      </c>
      <c r="E11" s="106">
        <v>0.016</v>
      </c>
    </row>
    <row r="12" spans="2:5" ht="12.75">
      <c r="B12" s="103" t="s">
        <v>174</v>
      </c>
      <c r="C12" s="105" t="s">
        <v>169</v>
      </c>
      <c r="D12" s="105" t="s">
        <v>165</v>
      </c>
      <c r="E12" s="106">
        <v>0.054</v>
      </c>
    </row>
    <row r="13" spans="2:5" ht="12.75">
      <c r="B13" s="103" t="s">
        <v>76</v>
      </c>
      <c r="C13" s="105" t="s">
        <v>169</v>
      </c>
      <c r="D13" s="105" t="s">
        <v>165</v>
      </c>
      <c r="E13" s="105" t="s">
        <v>175</v>
      </c>
    </row>
    <row r="14" spans="2:5" ht="25.5">
      <c r="B14" s="103" t="s">
        <v>176</v>
      </c>
      <c r="C14" s="105" t="s">
        <v>177</v>
      </c>
      <c r="D14" s="105" t="s">
        <v>165</v>
      </c>
      <c r="E14" s="108">
        <v>0.08</v>
      </c>
    </row>
    <row r="15" spans="2:5" ht="12.75">
      <c r="B15" s="107"/>
      <c r="C15" s="105"/>
      <c r="D15" s="105"/>
      <c r="E15" s="105"/>
    </row>
    <row r="16" spans="2:5" ht="12.75">
      <c r="B16" s="103" t="s">
        <v>178</v>
      </c>
      <c r="C16" s="105" t="s">
        <v>173</v>
      </c>
      <c r="D16" s="105" t="s">
        <v>165</v>
      </c>
      <c r="E16" s="106">
        <v>0.001</v>
      </c>
    </row>
    <row r="17" spans="2:5" ht="63.75" customHeight="1">
      <c r="B17" s="115" t="s">
        <v>179</v>
      </c>
      <c r="C17" s="116" t="s">
        <v>169</v>
      </c>
      <c r="D17" s="116" t="s">
        <v>165</v>
      </c>
      <c r="E17" s="106">
        <v>0.004</v>
      </c>
    </row>
    <row r="18" spans="2:5" ht="25.5">
      <c r="B18" s="115"/>
      <c r="C18" s="116"/>
      <c r="D18" s="116"/>
      <c r="E18" s="105" t="s">
        <v>180</v>
      </c>
    </row>
    <row r="19" spans="2:5" ht="51">
      <c r="B19" s="103" t="s">
        <v>181</v>
      </c>
      <c r="C19" s="105" t="s">
        <v>169</v>
      </c>
      <c r="D19" s="105" t="s">
        <v>165</v>
      </c>
      <c r="E19" s="105" t="s">
        <v>175</v>
      </c>
    </row>
    <row r="20" spans="2:5" ht="12.75">
      <c r="B20" s="107"/>
      <c r="C20" s="105"/>
      <c r="D20" s="105"/>
      <c r="E20" s="105"/>
    </row>
    <row r="21" spans="2:5" ht="25.5">
      <c r="B21" s="103" t="s">
        <v>182</v>
      </c>
      <c r="C21" s="105" t="s">
        <v>183</v>
      </c>
      <c r="D21" s="106">
        <v>0.024</v>
      </c>
      <c r="E21" s="106">
        <v>0.04</v>
      </c>
    </row>
    <row r="22" spans="2:5" ht="25.5">
      <c r="B22" s="103" t="s">
        <v>184</v>
      </c>
      <c r="C22" s="105" t="s">
        <v>183</v>
      </c>
      <c r="D22" s="105" t="s">
        <v>165</v>
      </c>
      <c r="E22" s="106">
        <v>0.004</v>
      </c>
    </row>
    <row r="23" spans="2:5" ht="12.75">
      <c r="B23" s="107"/>
      <c r="C23" s="105"/>
      <c r="D23" s="105"/>
      <c r="E23" s="105"/>
    </row>
    <row r="24" spans="2:5" ht="12.75">
      <c r="B24" s="103" t="s">
        <v>185</v>
      </c>
      <c r="C24" s="116" t="s">
        <v>187</v>
      </c>
      <c r="D24" s="117">
        <v>0.03</v>
      </c>
      <c r="E24" s="118">
        <v>0.045</v>
      </c>
    </row>
    <row r="25" spans="2:5" ht="12.75">
      <c r="B25" s="103" t="s">
        <v>186</v>
      </c>
      <c r="C25" s="116"/>
      <c r="D25" s="117"/>
      <c r="E25" s="118"/>
    </row>
    <row r="26" spans="2:5" ht="12.75">
      <c r="B26" s="107"/>
      <c r="C26" s="105" t="s">
        <v>188</v>
      </c>
      <c r="D26" s="106">
        <v>0.008</v>
      </c>
      <c r="E26" s="106">
        <v>0.012</v>
      </c>
    </row>
    <row r="27" spans="2:5" ht="12.75">
      <c r="B27" s="107"/>
      <c r="C27" s="105" t="s">
        <v>189</v>
      </c>
      <c r="D27" s="108">
        <v>0.08</v>
      </c>
      <c r="E27" s="108">
        <v>0.12</v>
      </c>
    </row>
    <row r="28" spans="2:5" ht="12.75">
      <c r="B28" s="107"/>
      <c r="C28" s="105" t="s">
        <v>190</v>
      </c>
      <c r="D28" s="106">
        <v>0.009</v>
      </c>
      <c r="E28" s="106">
        <v>0.013</v>
      </c>
    </row>
    <row r="29" spans="2:5" ht="12.75">
      <c r="B29" s="107"/>
      <c r="C29" s="105"/>
      <c r="D29" s="105"/>
      <c r="E29" s="105"/>
    </row>
    <row r="30" spans="2:5" ht="12.75">
      <c r="B30" s="103" t="s">
        <v>185</v>
      </c>
      <c r="C30" s="105" t="s">
        <v>192</v>
      </c>
      <c r="D30" s="117">
        <v>0.03</v>
      </c>
      <c r="E30" s="118">
        <v>0.045</v>
      </c>
    </row>
    <row r="31" spans="2:5" ht="12.75">
      <c r="B31" s="103" t="s">
        <v>191</v>
      </c>
      <c r="C31" s="105" t="s">
        <v>193</v>
      </c>
      <c r="D31" s="117"/>
      <c r="E31" s="118"/>
    </row>
    <row r="32" spans="2:5" ht="12.75">
      <c r="B32" s="107"/>
      <c r="C32" s="105" t="s">
        <v>194</v>
      </c>
      <c r="D32" s="106">
        <v>0.008</v>
      </c>
      <c r="E32" s="106">
        <v>0.012</v>
      </c>
    </row>
    <row r="33" spans="2:5" ht="12.75">
      <c r="B33" s="107"/>
      <c r="C33" s="105" t="s">
        <v>195</v>
      </c>
      <c r="D33" s="106">
        <v>0.077</v>
      </c>
      <c r="E33" s="106">
        <v>0.126</v>
      </c>
    </row>
    <row r="34" spans="2:5" ht="12.75">
      <c r="B34" s="107"/>
      <c r="C34" s="105" t="s">
        <v>196</v>
      </c>
      <c r="D34" s="106">
        <v>0.009</v>
      </c>
      <c r="E34" s="106">
        <v>0.013</v>
      </c>
    </row>
    <row r="35" spans="2:5" ht="12.75">
      <c r="B35" s="107"/>
      <c r="C35" s="105" t="s">
        <v>197</v>
      </c>
      <c r="D35" s="109" t="s">
        <v>198</v>
      </c>
      <c r="E35" s="109" t="s">
        <v>198</v>
      </c>
    </row>
    <row r="36" spans="2:5" ht="51">
      <c r="B36" s="103" t="s">
        <v>199</v>
      </c>
      <c r="C36" s="105" t="s">
        <v>200</v>
      </c>
      <c r="D36" s="106">
        <v>0.0013</v>
      </c>
      <c r="E36" s="106">
        <v>0.0022</v>
      </c>
    </row>
    <row r="37" spans="2:5" ht="12.75">
      <c r="B37" s="103" t="s">
        <v>201</v>
      </c>
      <c r="C37" s="105" t="s">
        <v>202</v>
      </c>
      <c r="D37" s="106">
        <v>0.00024</v>
      </c>
      <c r="E37" s="106">
        <v>0.00036</v>
      </c>
    </row>
    <row r="38" spans="2:5" ht="12.75">
      <c r="B38" s="103" t="s">
        <v>203</v>
      </c>
      <c r="C38" s="105" t="s">
        <v>204</v>
      </c>
      <c r="D38" s="105" t="s">
        <v>165</v>
      </c>
      <c r="E38" s="106">
        <v>0.015</v>
      </c>
    </row>
    <row r="39" spans="2:5" ht="12.75">
      <c r="B39" s="107"/>
      <c r="C39" s="105"/>
      <c r="D39" s="105"/>
      <c r="E39" s="105"/>
    </row>
    <row r="40" spans="2:5" ht="38.25">
      <c r="B40" s="103" t="s">
        <v>205</v>
      </c>
      <c r="C40" s="105" t="s">
        <v>169</v>
      </c>
      <c r="D40" s="105" t="s">
        <v>165</v>
      </c>
      <c r="E40" s="106">
        <v>0.0045</v>
      </c>
    </row>
    <row r="41" spans="2:5" ht="25.5">
      <c r="B41" s="115" t="s">
        <v>206</v>
      </c>
      <c r="C41" s="116" t="s">
        <v>169</v>
      </c>
      <c r="D41" s="116" t="s">
        <v>165</v>
      </c>
      <c r="E41" s="105" t="s">
        <v>207</v>
      </c>
    </row>
    <row r="42" spans="2:5" ht="51">
      <c r="B42" s="115"/>
      <c r="C42" s="116"/>
      <c r="D42" s="116"/>
      <c r="E42" s="105" t="s">
        <v>208</v>
      </c>
    </row>
    <row r="43" spans="2:5" ht="38.25">
      <c r="B43" s="103" t="s">
        <v>209</v>
      </c>
      <c r="C43" s="105" t="s">
        <v>169</v>
      </c>
      <c r="D43" s="105" t="s">
        <v>165</v>
      </c>
      <c r="E43" s="106">
        <v>0.0018</v>
      </c>
    </row>
    <row r="44" spans="2:5" ht="38.25" customHeight="1">
      <c r="B44" s="115" t="s">
        <v>210</v>
      </c>
      <c r="C44" s="116" t="s">
        <v>169</v>
      </c>
      <c r="D44" s="116" t="s">
        <v>165</v>
      </c>
      <c r="E44" s="105" t="s">
        <v>211</v>
      </c>
    </row>
    <row r="45" spans="2:5" ht="51">
      <c r="B45" s="115"/>
      <c r="C45" s="116"/>
      <c r="D45" s="116"/>
      <c r="E45" s="105" t="s">
        <v>212</v>
      </c>
    </row>
    <row r="46" spans="2:5" ht="38.25">
      <c r="B46" s="103" t="s">
        <v>213</v>
      </c>
      <c r="C46" s="105" t="s">
        <v>169</v>
      </c>
      <c r="D46" s="105" t="s">
        <v>165</v>
      </c>
      <c r="E46" s="106">
        <v>0.0105</v>
      </c>
    </row>
    <row r="47" spans="2:5" ht="38.25">
      <c r="B47" s="103" t="s">
        <v>214</v>
      </c>
      <c r="C47" s="105" t="s">
        <v>169</v>
      </c>
      <c r="D47" s="105" t="s">
        <v>165</v>
      </c>
      <c r="E47" s="106">
        <v>0.0055</v>
      </c>
    </row>
    <row r="48" spans="2:5" ht="25.5">
      <c r="B48" s="103" t="s">
        <v>215</v>
      </c>
      <c r="C48" s="105" t="s">
        <v>169</v>
      </c>
      <c r="D48" s="105" t="s">
        <v>165</v>
      </c>
      <c r="E48" s="106">
        <v>0.0425</v>
      </c>
    </row>
    <row r="49" spans="2:5" ht="12.75">
      <c r="B49" s="110"/>
      <c r="C49" s="110"/>
      <c r="D49" s="110"/>
      <c r="E49" s="110"/>
    </row>
    <row r="50" spans="2:5" ht="12.75">
      <c r="B50" s="111" t="s">
        <v>216</v>
      </c>
      <c r="C50" s="110"/>
      <c r="D50" s="110"/>
      <c r="E50" s="110"/>
    </row>
    <row r="51" spans="2:5" ht="12.75">
      <c r="B51" s="111" t="s">
        <v>217</v>
      </c>
      <c r="C51" s="110"/>
      <c r="D51" s="110"/>
      <c r="E51" s="110"/>
    </row>
    <row r="52" spans="2:5" ht="12.75">
      <c r="B52" s="111" t="s">
        <v>218</v>
      </c>
      <c r="C52" s="110"/>
      <c r="D52" s="110"/>
      <c r="E52" s="110"/>
    </row>
    <row r="53" spans="2:5" ht="12.75">
      <c r="B53" s="111" t="s">
        <v>219</v>
      </c>
      <c r="C53" s="110"/>
      <c r="D53" s="110"/>
      <c r="E53" s="110"/>
    </row>
    <row r="54" spans="2:5" ht="12.75">
      <c r="B54" s="111" t="s">
        <v>220</v>
      </c>
      <c r="C54" s="110"/>
      <c r="D54" s="110"/>
      <c r="E54" s="110"/>
    </row>
    <row r="55" spans="2:5" ht="12.75">
      <c r="B55" s="111" t="s">
        <v>221</v>
      </c>
      <c r="C55" s="110"/>
      <c r="D55" s="110"/>
      <c r="E55" s="110"/>
    </row>
    <row r="56" spans="2:5" ht="12.75">
      <c r="B56" s="111" t="s">
        <v>222</v>
      </c>
      <c r="C56" s="110"/>
      <c r="D56" s="110"/>
      <c r="E56" s="110"/>
    </row>
    <row r="57" spans="2:5" ht="12.75">
      <c r="B57" s="110"/>
      <c r="C57" s="110"/>
      <c r="D57" s="110"/>
      <c r="E57" s="110"/>
    </row>
    <row r="58" spans="2:5" ht="12.75">
      <c r="B58" s="112" t="s">
        <v>223</v>
      </c>
      <c r="C58" s="110"/>
      <c r="D58" s="110"/>
      <c r="E58" s="110"/>
    </row>
    <row r="59" spans="2:5" ht="12.75">
      <c r="B59" s="110" t="s">
        <v>224</v>
      </c>
      <c r="C59" s="110"/>
      <c r="D59" s="110"/>
      <c r="E59" s="110"/>
    </row>
    <row r="60" spans="2:5" ht="12.75">
      <c r="B60" s="110" t="s">
        <v>225</v>
      </c>
      <c r="C60" s="110"/>
      <c r="D60" s="110"/>
      <c r="E60" s="110"/>
    </row>
    <row r="61" spans="2:5" ht="12.75">
      <c r="B61" s="110"/>
      <c r="C61" s="110"/>
      <c r="D61" s="110"/>
      <c r="E61" s="110"/>
    </row>
    <row r="62" spans="2:5" ht="12.75">
      <c r="B62" s="112" t="s">
        <v>226</v>
      </c>
      <c r="C62" s="110"/>
      <c r="D62" s="110"/>
      <c r="E62" s="110"/>
    </row>
    <row r="63" spans="2:5" ht="12.75">
      <c r="B63" s="110"/>
      <c r="C63" s="110"/>
      <c r="D63" s="110"/>
      <c r="E63" s="110"/>
    </row>
    <row r="64" spans="2:5" ht="12.75">
      <c r="B64" s="112" t="s">
        <v>227</v>
      </c>
      <c r="C64" s="110"/>
      <c r="D64" s="110"/>
      <c r="E64" s="110"/>
    </row>
    <row r="65" spans="3:5" ht="12.75">
      <c r="C65" s="110"/>
      <c r="D65" s="110"/>
      <c r="E65" s="110"/>
    </row>
    <row r="66" spans="3:5" ht="12.75">
      <c r="C66" s="110"/>
      <c r="D66" s="110"/>
      <c r="E66" s="110"/>
    </row>
    <row r="67" spans="3:5" ht="12.75">
      <c r="C67" s="110"/>
      <c r="D67" s="110"/>
      <c r="E67" s="110"/>
    </row>
    <row r="68" spans="3:5" ht="12.75">
      <c r="C68" s="110"/>
      <c r="D68" s="110"/>
      <c r="E68" s="110"/>
    </row>
  </sheetData>
  <sheetProtection/>
  <mergeCells count="17">
    <mergeCell ref="D41:D42"/>
    <mergeCell ref="B8:B9"/>
    <mergeCell ref="C8:C9"/>
    <mergeCell ref="E8:E9"/>
    <mergeCell ref="B17:B18"/>
    <mergeCell ref="C17:C18"/>
    <mergeCell ref="D17:D18"/>
    <mergeCell ref="B44:B45"/>
    <mergeCell ref="C44:C45"/>
    <mergeCell ref="D44:D45"/>
    <mergeCell ref="C24:C25"/>
    <mergeCell ref="D24:D25"/>
    <mergeCell ref="E24:E25"/>
    <mergeCell ref="D30:D31"/>
    <mergeCell ref="E30:E31"/>
    <mergeCell ref="B41:B42"/>
    <mergeCell ref="C41:C4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8"/>
  <sheetViews>
    <sheetView zoomScaleSheetLayoutView="50" zoomScalePageLayoutView="0" workbookViewId="0" topLeftCell="A1">
      <selection activeCell="A1" sqref="A1:E1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8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40391</v>
      </c>
      <c r="H2" s="7" t="s">
        <v>141</v>
      </c>
      <c r="I2" s="6">
        <f>DATE('Param Taux'!C1,(AA1+1),0)</f>
        <v>40421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spans="2:13" ht="7.5" customHeight="1">
      <c r="B10">
        <v>111100110001000</v>
      </c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/>
      <c r="D22" s="29"/>
      <c r="E22" s="30"/>
      <c r="F22" s="31"/>
      <c r="G22" s="31">
        <f>ROUNDUP(('Composantes du salaire'!I2*'Composantes du salaire'!I3),2)</f>
        <v>1510</v>
      </c>
      <c r="H22" s="31"/>
      <c r="I22" s="30"/>
      <c r="J22" s="30"/>
      <c r="K22" s="19"/>
    </row>
    <row r="23" spans="1:11" ht="11.25" customHeight="1">
      <c r="A23" s="18"/>
      <c r="B23" s="28"/>
      <c r="C23" s="34"/>
      <c r="D23" s="29">
        <f>IF((ISNA(VLOOKUP($C23,'Composantes du salaire'!$A$9:$M$16,9,FALSE))=TRUE),"",VLOOKUP($C23,'Composantes du salaire'!$A$9:$M$16,9,FALSE))</f>
      </c>
      <c r="E23" s="30"/>
      <c r="F23" s="31"/>
      <c r="G23" s="30">
        <f>IF((ISNA(VLOOKUP($C23,'Composantes du salaire'!$A$9:$M$16,9,FALSE))=TRUE),"",IF((OR(($C23="Absences congés payés :"),($C23="Maladie :"))=TRUE),,IF(($C23="Primes, avantages :"),D23,(D23*E23))))</f>
      </c>
      <c r="H23" s="30">
        <f>IF((ISNA(VLOOKUP($C23,'Composantes du salaire'!$A$9:$M$16,9,FALSE))=TRUE),"",IF((OR(($C23="Absences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/>
      <c r="D24" s="29">
        <f>IF((ISNA(VLOOKUP($C24,'Composantes du salaire'!$A$9:$M$16,9,FALSE))=TRUE),"",VLOOKUP($C24,'Composantes du salaire'!$A$9:$M$16,9,FALSE))</f>
      </c>
      <c r="E24" s="30"/>
      <c r="F24" s="31"/>
      <c r="G24" s="30">
        <f>IF((ISNA(VLOOKUP($C24,'Composantes du salaire'!$A$9:$M$16,9,FALSE))=TRUE),"",IF((OR(($C24="Absences congés payés :"),($C24="Maladie :"))=TRUE),,IF(($C24="Primes, avantages :"),D24,(D24*E24))))</f>
      </c>
      <c r="H24" s="30">
        <f>IF((ISNA(VLOOKUP($C24,'Composantes du salaire'!$A$9:$M$16,9,FALSE))=TRUE),"",IF((OR(($C24="Absences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salaire'!I11)=TRUE),,'Composantes du salaire'!A11)</f>
        <v>0</v>
      </c>
      <c r="D25" s="29">
        <f>IF((ISNA(VLOOKUP($C25,'Composantes du salaire'!$A$9:$M$16,9,FALSE))=TRUE),"",VLOOKUP($C25,'Composantes du salaire'!$A$9:$M$16,9,FALSE))</f>
      </c>
      <c r="E25" s="30"/>
      <c r="F25" s="31"/>
      <c r="G25" s="30">
        <f>IF((ISNA(VLOOKUP($C25,'Composantes du salaire'!$A$9:$M$16,9,FALSE))=TRUE),"",IF((OR(($C25="Absences congés payés :"),($C25="Maladie :"))=TRUE),,IF(($C25="Primes, avantages :"),D25,(D25*E25))))</f>
      </c>
      <c r="H25" s="30">
        <f>IF((ISNA(VLOOKUP($C25,'Composantes du salaire'!$A$9:$M$16,9,FALSE))=TRUE),"",IF((OR(($C25="Absences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salaire'!I12)=TRUE),,'Composantes du salaire'!A12)</f>
        <v>0</v>
      </c>
      <c r="D26" s="29">
        <f>IF((ISNA(VLOOKUP($C26,'Composantes du salaire'!$A$9:$M$16,9,FALSE))=TRUE),"",VLOOKUP($C26,'Composantes du salaire'!$A$9:$M$16,9,FALSE))</f>
      </c>
      <c r="E26" s="30"/>
      <c r="F26" s="31"/>
      <c r="G26" s="30">
        <f>IF((ISNA(VLOOKUP($C26,'Composantes du salaire'!$A$9:$M$16,9,FALSE))=TRUE),"",IF((OR(($C26="Absences congés payés :"),($C26="Maladie :"))=TRUE),,IF(($C26="Primes, avantages :"),D26,(D26*E26))))</f>
      </c>
      <c r="H26" s="30">
        <f>IF((ISNA(VLOOKUP($C26,'Composantes du salaire'!$A$9:$M$16,9,FALSE))=TRUE),"",IF((OR(($C26="Absences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salaire'!I13)=TRUE),,'Composantes du salaire'!A13)</f>
        <v>0</v>
      </c>
      <c r="D27" s="29">
        <f>IF((ISNA(VLOOKUP($C27,'Composantes du salaire'!$A$9:$M$16,9,FALSE))=TRUE),"",VLOOKUP($C27,'Composantes du salaire'!$A$9:$M$16,9,FALSE))</f>
      </c>
      <c r="E27" s="30"/>
      <c r="F27" s="31"/>
      <c r="G27" s="30">
        <f>IF((ISNA(VLOOKUP($C27,'Composantes du salaire'!$A$9:$M$16,9,FALSE))=TRUE),"",IF((OR(($C27="Absences congés payés :"),($C27="Maladie :"))=TRUE),,IF(($C27="Primes, avantages :"),D27,(D27*E27))))</f>
      </c>
      <c r="H27" s="30">
        <f>IF((ISNA(VLOOKUP($C27,'Composantes du salaire'!$A$9:$M$16,9,FALSE))=TRUE),"",IF((OR(($C27="Absences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salaire'!I14)=TRUE),,'Composantes du salaire'!A14)</f>
        <v>0</v>
      </c>
      <c r="D28" s="29">
        <f>IF((ISNA(VLOOKUP($C28,'Composantes du salaire'!$A$9:$M$16,9,FALSE))=TRUE),"",VLOOKUP($C28,'Composantes du salaire'!$A$9:$M$16,9,FALSE))</f>
      </c>
      <c r="E28" s="30"/>
      <c r="F28" s="31"/>
      <c r="G28" s="30">
        <f>IF((ISNA(VLOOKUP($C28,'Composantes du salaire'!$A$9:$M$16,9,FALSE))=TRUE),"",IF((OR(($C28="Absences congés payés :"),($C28="Maladie :"))=TRUE),,IF(($C28="Primes, avantages :"),D28,(D28*E28))))</f>
      </c>
      <c r="H28" s="30">
        <f>IF((ISNA(VLOOKUP($C28,'Composantes du salaire'!$A$9:$M$16,9,FALSE))=TRUE),"",IF((OR(($C28="Absences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salaire'!I15)=TRUE),,'Composantes du salaire'!A15)</f>
        <v>0</v>
      </c>
      <c r="D29" s="29">
        <f>IF((ISNA(VLOOKUP($C29,'Composantes du salaire'!$A$9:$M$16,9,FALSE))=TRUE),"",VLOOKUP($C29,'Composantes du salaire'!$A$9:$M$16,9,FALSE))</f>
      </c>
      <c r="E29" s="30"/>
      <c r="F29" s="31"/>
      <c r="G29" s="30">
        <f>IF((ISNA(VLOOKUP($C29,'Composantes du salaire'!$A$9:$M$16,9,FALSE))=TRUE),"",IF((OR(($C29="Absences congés payés :"),($C29="Maladie :"))=TRUE),,IF(($C29="Primes, avantages :"),D29,(D29*E29))))</f>
      </c>
      <c r="H29" s="30">
        <f>IF((ISNA(VLOOKUP($C29,'Composantes du salaire'!$A$9:$M$16,9,FALSE))=TRUE),"",IF((OR(($C29="Absences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1510</v>
      </c>
      <c r="H30" s="31"/>
      <c r="I30" s="30"/>
      <c r="J30" s="30"/>
      <c r="K30" s="19"/>
    </row>
    <row r="31" spans="1:11" ht="11.25" customHeight="1">
      <c r="A31" s="18"/>
      <c r="B31" s="102">
        <v>40299</v>
      </c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1510</v>
      </c>
      <c r="E32" s="31">
        <f>IF(('Param Taux'!$C$7="Oui"),IF(($G$30&lt;=('Param Taux'!$C$3*'Composantes du salaire'!$B$2)),0,(G30-('Param Taux'!$C$3*'Composantes du salaire'!$B$2))),$G$30)</f>
        <v>1510</v>
      </c>
      <c r="F32" s="33">
        <f>'Param Taux'!C12+'Param Taux'!C13</f>
        <v>0.0085</v>
      </c>
      <c r="G32" s="30"/>
      <c r="H32" s="31">
        <f aca="true" t="shared" si="0" ref="H32:H51">E32*F32</f>
        <v>12.835</v>
      </c>
      <c r="I32" s="33">
        <f>'Param Taux'!D12</f>
        <v>0.128</v>
      </c>
      <c r="J32" s="31">
        <f aca="true" t="shared" si="1" ref="J32:J51">I32*E32</f>
        <v>193.28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1510</v>
      </c>
      <c r="E33" s="31">
        <f>IF(('Param Taux'!$C$7="Oui"),IF(($G$30&lt;=('Param Taux'!$C$3*'Composantes du salaire'!$B$2)),0,(G30-('Param Taux'!$C$3*'Composantes du salaire'!$B$2))),$G$30)</f>
        <v>1510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110.22999999999999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1510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1510</v>
      </c>
      <c r="F34" s="33">
        <f>'Param Taux'!C15</f>
        <v>0.0665</v>
      </c>
      <c r="G34" s="30"/>
      <c r="H34" s="31">
        <f t="shared" si="0"/>
        <v>100.415</v>
      </c>
      <c r="I34" s="33">
        <f>'Param Taux'!D15</f>
        <v>0.083</v>
      </c>
      <c r="J34" s="31">
        <f t="shared" si="1"/>
        <v>125.33000000000001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1510</v>
      </c>
      <c r="E35" s="31">
        <f>IF(('Param Taux'!$C$7="Oui"),IF(($G$30&lt;=('Param Taux'!$C$3*'Composantes du salaire'!$B$2)),0,(G30-('Param Taux'!$C$3*'Composantes du salaire'!$B$2))),$G$30)</f>
        <v>1510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24.16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1510</v>
      </c>
      <c r="E36" s="31">
        <f>IF(('Param Taux'!$C$7="Oui"),IF(($G$30&lt;=('Param Taux'!$C$3*'Composantes du salaire'!$B$2)),0,(G30-('Param Taux'!$C$3*'Composantes du salaire'!$B$2))),$G$30)</f>
        <v>1510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81.53999999999999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1510</v>
      </c>
      <c r="E37" s="31">
        <f>IF(($G$30&lt;='Param Taux'!C2),$G$30,'Param Taux'!$C$2)</f>
        <v>1510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1.51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1510</v>
      </c>
      <c r="E38" s="31">
        <f>$G$30</f>
        <v>1510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1510</v>
      </c>
      <c r="F40" s="33">
        <f>'Param Taux'!C22</f>
        <v>0.024</v>
      </c>
      <c r="G40" s="30"/>
      <c r="H40" s="31">
        <f t="shared" si="0"/>
        <v>36.24</v>
      </c>
      <c r="I40" s="33">
        <f>'Param Taux'!D22</f>
        <v>0.04</v>
      </c>
      <c r="J40" s="31">
        <f t="shared" si="1"/>
        <v>60.4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1510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6.04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1510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1510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1510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1510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1434.5</v>
      </c>
      <c r="F50" s="33">
        <f>'Param Taux'!C37</f>
        <v>0.029</v>
      </c>
      <c r="G50" s="30"/>
      <c r="H50" s="31">
        <f t="shared" si="0"/>
        <v>41.600500000000004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1434.5</v>
      </c>
      <c r="F51" s="33">
        <f>'Param Taux'!C38</f>
        <v>0.051</v>
      </c>
      <c r="G51" s="30"/>
      <c r="H51" s="31">
        <f t="shared" si="0"/>
        <v>73.1595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1510</v>
      </c>
      <c r="F55" s="33">
        <f>'Param Taux'!C42</f>
        <v>0.0087</v>
      </c>
      <c r="G55" s="30"/>
      <c r="H55" s="31">
        <f>E55*F55</f>
        <v>13.136999999999999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1510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277.387</v>
      </c>
      <c r="I63" s="44"/>
      <c r="J63" s="43">
        <f>SUM(J32:J62)</f>
        <v>602.49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1274.2135</v>
      </c>
      <c r="E67" s="52"/>
      <c r="F67" s="52"/>
      <c r="G67" s="52"/>
      <c r="H67" s="52" t="s">
        <v>8</v>
      </c>
      <c r="I67" s="54"/>
      <c r="J67" s="53">
        <f>((G30-H63)-(SUM(H64:H65)))+SUM(G64:G65)</f>
        <v>1232.613</v>
      </c>
    </row>
    <row r="68" spans="2:10" ht="12.75" customHeight="1">
      <c r="B68" s="51"/>
      <c r="C68" s="52" t="s">
        <v>59</v>
      </c>
      <c r="D68" s="53">
        <f>D67+Juil!D68</f>
        <v>4459.74725</v>
      </c>
      <c r="E68" s="52"/>
      <c r="F68" s="52"/>
      <c r="G68" s="52"/>
      <c r="H68" s="52" t="s">
        <v>59</v>
      </c>
      <c r="I68" s="54"/>
      <c r="J68" s="53">
        <f>J67+Juil!J68</f>
        <v>4314.1455000000005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0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A1" sqref="A1:E1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9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40422</v>
      </c>
      <c r="H2" s="7" t="s">
        <v>141</v>
      </c>
      <c r="I2" s="6">
        <f>DATE('Param Taux'!C1,(AA1+1),0)</f>
        <v>40451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spans="2:13" ht="7.5" customHeight="1">
      <c r="B10">
        <v>111100110001000</v>
      </c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/>
      <c r="D22" s="29"/>
      <c r="E22" s="30"/>
      <c r="F22" s="31"/>
      <c r="G22" s="31">
        <f>ROUNDUP(('Composantes du salaire'!J2*'Composantes du salaire'!J3),2)</f>
        <v>1510</v>
      </c>
      <c r="H22" s="31"/>
      <c r="I22" s="30"/>
      <c r="J22" s="30"/>
      <c r="K22" s="19"/>
    </row>
    <row r="23" spans="1:11" ht="11.25" customHeight="1">
      <c r="A23" s="18"/>
      <c r="B23" s="28"/>
      <c r="C23" s="34"/>
      <c r="D23" s="29">
        <f>IF((ISNA(VLOOKUP($C23,'Composantes du salaire'!$A$9:$M$16,10,FALSE))=TRUE),"",VLOOKUP($C23,'Composantes du salaire'!$A$9:$M$16,10,FALSE))</f>
      </c>
      <c r="E23" s="30"/>
      <c r="F23" s="31"/>
      <c r="G23" s="30">
        <f>IF((ISNA(VLOOKUP($C23,'Composantes du salaire'!$A$9:$M$16,10,FALSE))=TRUE),"",IF((OR(($C23="Absences congés payés :"),($C23="Maladie :"))=TRUE),,IF(($C23="Primes, avantages :"),D23,(D23*E23))))</f>
      </c>
      <c r="H23" s="30">
        <f>IF((ISNA(VLOOKUP($C23,'Composantes du salaire'!$A$9:$M$16,10,FALSE))=TRUE),"",IF((OR(($C23="Absences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/>
      <c r="D24" s="29">
        <f>IF((ISNA(VLOOKUP($C24,'Composantes du salaire'!$A$9:$M$16,10,FALSE))=TRUE),"",VLOOKUP($C24,'Composantes du salaire'!$A$9:$M$16,10,FALSE))</f>
      </c>
      <c r="E24" s="30"/>
      <c r="F24" s="31"/>
      <c r="G24" s="30">
        <f>IF((ISNA(VLOOKUP($C24,'Composantes du salaire'!$A$9:$M$16,10,FALSE))=TRUE),"",IF((OR(($C24="Absences congés payés :"),($C24="Maladie :"))=TRUE),,IF(($C24="Primes, avantages :"),D24,(D24*E24))))</f>
      </c>
      <c r="H24" s="30">
        <f>IF((ISNA(VLOOKUP($C24,'Composantes du salaire'!$A$9:$M$16,10,FALSE))=TRUE),"",IF((OR(($C24="Absences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salaire'!J11)=TRUE),,'Composantes du salaire'!A11)</f>
        <v>0</v>
      </c>
      <c r="D25" s="29">
        <f>IF((ISNA(VLOOKUP($C25,'Composantes du salaire'!$A$9:$M$16,10,FALSE))=TRUE),"",VLOOKUP($C25,'Composantes du salaire'!$A$9:$M$16,10,FALSE))</f>
      </c>
      <c r="E25" s="30"/>
      <c r="F25" s="31"/>
      <c r="G25" s="30">
        <f>IF((ISNA(VLOOKUP($C25,'Composantes du salaire'!$A$9:$M$16,10,FALSE))=TRUE),"",IF((OR(($C25="Absences congés payés :"),($C25="Maladie :"))=TRUE),,IF(($C25="Primes, avantages :"),D25,(D25*E25))))</f>
      </c>
      <c r="H25" s="30">
        <f>IF((ISNA(VLOOKUP($C25,'Composantes du salaire'!$A$9:$M$16,10,FALSE))=TRUE),"",IF((OR(($C25="Absences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salaire'!J12)=TRUE),,'Composantes du salaire'!A12)</f>
        <v>0</v>
      </c>
      <c r="D26" s="29">
        <f>IF((ISNA(VLOOKUP($C26,'Composantes du salaire'!$A$9:$M$16,10,FALSE))=TRUE),"",VLOOKUP($C26,'Composantes du salaire'!$A$9:$M$16,10,FALSE))</f>
      </c>
      <c r="E26" s="30"/>
      <c r="F26" s="31"/>
      <c r="G26" s="30">
        <f>IF((ISNA(VLOOKUP($C26,'Composantes du salaire'!$A$9:$M$16,10,FALSE))=TRUE),"",IF((OR(($C26="Absences congés payés :"),($C26="Maladie :"))=TRUE),,IF(($C26="Primes, avantages :"),D26,(D26*E26))))</f>
      </c>
      <c r="H26" s="30">
        <f>IF((ISNA(VLOOKUP($C26,'Composantes du salaire'!$A$9:$M$16,10,FALSE))=TRUE),"",IF((OR(($C26="Absences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salaire'!J13)=TRUE),,'Composantes du salaire'!A13)</f>
        <v>0</v>
      </c>
      <c r="D27" s="29">
        <f>IF((ISNA(VLOOKUP($C27,'Composantes du salaire'!$A$9:$M$16,10,FALSE))=TRUE),"",VLOOKUP($C27,'Composantes du salaire'!$A$9:$M$16,10,FALSE))</f>
      </c>
      <c r="E27" s="30"/>
      <c r="F27" s="31"/>
      <c r="G27" s="30">
        <f>IF((ISNA(VLOOKUP($C27,'Composantes du salaire'!$A$9:$M$16,10,FALSE))=TRUE),"",IF((OR(($C27="Absences congés payés :"),($C27="Maladie :"))=TRUE),,IF(($C27="Primes, avantages :"),D27,(D27*E27))))</f>
      </c>
      <c r="H27" s="30">
        <f>IF((ISNA(VLOOKUP($C27,'Composantes du salaire'!$A$9:$M$16,10,FALSE))=TRUE),"",IF((OR(($C27="Absences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salaire'!J14)=TRUE),,'Composantes du salaire'!A14)</f>
        <v>0</v>
      </c>
      <c r="D28" s="29">
        <f>IF((ISNA(VLOOKUP($C28,'Composantes du salaire'!$A$9:$M$16,10,FALSE))=TRUE),"",VLOOKUP($C28,'Composantes du salaire'!$A$9:$M$16,10,FALSE))</f>
      </c>
      <c r="E28" s="30"/>
      <c r="F28" s="31"/>
      <c r="G28" s="30">
        <f>IF((ISNA(VLOOKUP($C28,'Composantes du salaire'!$A$9:$M$16,10,FALSE))=TRUE),"",IF((OR(($C28="Absences congés payés :"),($C28="Maladie :"))=TRUE),,IF(($C28="Primes, avantages :"),D28,(D28*E28))))</f>
      </c>
      <c r="H28" s="30">
        <f>IF((ISNA(VLOOKUP($C28,'Composantes du salaire'!$A$9:$M$16,10,FALSE))=TRUE),"",IF((OR(($C28="Absences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salaire'!J15)=TRUE),,'Composantes du salaire'!A15)</f>
        <v>0</v>
      </c>
      <c r="D29" s="29">
        <f>IF((ISNA(VLOOKUP($C29,'Composantes du salaire'!$A$9:$M$16,10,FALSE))=TRUE),"",VLOOKUP($C29,'Composantes du salaire'!$A$9:$M$16,10,FALSE))</f>
      </c>
      <c r="E29" s="30"/>
      <c r="F29" s="31"/>
      <c r="G29" s="30">
        <f>IF((ISNA(VLOOKUP($C29,'Composantes du salaire'!$A$9:$M$16,10,FALSE))=TRUE),"",IF((OR(($C29="Absences congés payés :"),($C29="Maladie :"))=TRUE),,IF(($C29="Primes, avantages :"),D29,(D29*E29))))</f>
      </c>
      <c r="H29" s="30">
        <f>IF((ISNA(VLOOKUP($C29,'Composantes du salaire'!$A$9:$M$16,10,FALSE))=TRUE),"",IF((OR(($C29="Absences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1510</v>
      </c>
      <c r="H30" s="31"/>
      <c r="I30" s="30"/>
      <c r="J30" s="30"/>
      <c r="K30" s="19"/>
    </row>
    <row r="31" spans="1:11" ht="11.25" customHeight="1">
      <c r="A31" s="18"/>
      <c r="B31" s="102">
        <v>40299</v>
      </c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1510</v>
      </c>
      <c r="E32" s="31">
        <f>IF(('Param Taux'!$C$7="Oui"),IF(($G$30&lt;=('Param Taux'!$C$3*'Composantes du salaire'!$B$2)),0,(G30-('Param Taux'!$C$3*'Composantes du salaire'!$B$2))),$G$30)</f>
        <v>1510</v>
      </c>
      <c r="F32" s="33">
        <f>'Param Taux'!C12+'Param Taux'!C13</f>
        <v>0.0085</v>
      </c>
      <c r="G32" s="30"/>
      <c r="H32" s="31">
        <f aca="true" t="shared" si="0" ref="H32:H51">E32*F32</f>
        <v>12.835</v>
      </c>
      <c r="I32" s="33">
        <f>'Param Taux'!D12</f>
        <v>0.128</v>
      </c>
      <c r="J32" s="31">
        <f aca="true" t="shared" si="1" ref="J32:J51">I32*E32</f>
        <v>193.28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1510</v>
      </c>
      <c r="E33" s="31">
        <f>IF(('Param Taux'!$C$7="Oui"),IF(($G$30&lt;=('Param Taux'!$C$3*'Composantes du salaire'!$B$2)),0,(G30-('Param Taux'!$C$3*'Composantes du salaire'!$B$2))),$G$30)</f>
        <v>1510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110.22999999999999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1510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1510</v>
      </c>
      <c r="F34" s="33">
        <f>'Param Taux'!C15</f>
        <v>0.0665</v>
      </c>
      <c r="G34" s="30"/>
      <c r="H34" s="31">
        <f t="shared" si="0"/>
        <v>100.415</v>
      </c>
      <c r="I34" s="33">
        <f>'Param Taux'!D15</f>
        <v>0.083</v>
      </c>
      <c r="J34" s="31">
        <f t="shared" si="1"/>
        <v>125.33000000000001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1510</v>
      </c>
      <c r="E35" s="31">
        <f>IF(('Param Taux'!$C$7="Oui"),IF(($G$30&lt;=('Param Taux'!$C$3*'Composantes du salaire'!$B$2)),0,(G30-('Param Taux'!$C$3*'Composantes du salaire'!$B$2))),$G$30)</f>
        <v>1510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24.16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1510</v>
      </c>
      <c r="E36" s="31">
        <f>IF(('Param Taux'!$C$7="Oui"),IF(($G$30&lt;=('Param Taux'!$C$3*'Composantes du salaire'!$B$2)),0,(G30-('Param Taux'!$C$3*'Composantes du salaire'!$B$2))),$G$30)</f>
        <v>1510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81.53999999999999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1510</v>
      </c>
      <c r="E37" s="31">
        <f>IF(($G$30&lt;='Param Taux'!C2),$G$30,'Param Taux'!$C$2)</f>
        <v>1510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1.51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1510</v>
      </c>
      <c r="E38" s="31">
        <f>$G$30</f>
        <v>1510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1510</v>
      </c>
      <c r="F40" s="33">
        <f>'Param Taux'!C22</f>
        <v>0.024</v>
      </c>
      <c r="G40" s="30"/>
      <c r="H40" s="31">
        <f t="shared" si="0"/>
        <v>36.24</v>
      </c>
      <c r="I40" s="33">
        <f>'Param Taux'!D22</f>
        <v>0.04</v>
      </c>
      <c r="J40" s="31">
        <f t="shared" si="1"/>
        <v>60.4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1510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6.04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1510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1510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1510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1510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1434.5</v>
      </c>
      <c r="F50" s="33">
        <f>'Param Taux'!C37</f>
        <v>0.029</v>
      </c>
      <c r="G50" s="30"/>
      <c r="H50" s="31">
        <f t="shared" si="0"/>
        <v>41.600500000000004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1434.5</v>
      </c>
      <c r="F51" s="33">
        <f>'Param Taux'!C38</f>
        <v>0.051</v>
      </c>
      <c r="G51" s="30"/>
      <c r="H51" s="31">
        <f t="shared" si="0"/>
        <v>73.1595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1510</v>
      </c>
      <c r="F55" s="33">
        <f>'Param Taux'!C42</f>
        <v>0.0087</v>
      </c>
      <c r="G55" s="30"/>
      <c r="H55" s="31">
        <f>E55*F55</f>
        <v>13.136999999999999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1510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277.387</v>
      </c>
      <c r="I63" s="44"/>
      <c r="J63" s="43">
        <f>SUM(J32:J62)</f>
        <v>602.49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1274.2135</v>
      </c>
      <c r="E67" s="52"/>
      <c r="F67" s="52"/>
      <c r="G67" s="52"/>
      <c r="H67" s="52" t="s">
        <v>8</v>
      </c>
      <c r="I67" s="54"/>
      <c r="J67" s="53">
        <f>((G30-H63)-(SUM(H64:H65)))+SUM(G64:G65)</f>
        <v>1232.613</v>
      </c>
    </row>
    <row r="68" spans="2:10" ht="12.75" customHeight="1">
      <c r="B68" s="51"/>
      <c r="C68" s="52" t="s">
        <v>59</v>
      </c>
      <c r="D68" s="53">
        <f>D67+Août!D68</f>
        <v>5733.96075</v>
      </c>
      <c r="E68" s="52"/>
      <c r="F68" s="52"/>
      <c r="G68" s="52"/>
      <c r="H68" s="52" t="s">
        <v>59</v>
      </c>
      <c r="I68" s="54"/>
      <c r="J68" s="53">
        <f>J67+Août!J68</f>
        <v>5546.758500000001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4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A1" sqref="A1:E1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10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40452</v>
      </c>
      <c r="H2" s="7" t="s">
        <v>141</v>
      </c>
      <c r="I2" s="6">
        <f>DATE('Param Taux'!C1,(AA1+1),0)</f>
        <v>40482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spans="2:13" ht="7.5" customHeight="1">
      <c r="B10">
        <v>111100110001000</v>
      </c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/>
      <c r="D22" s="29"/>
      <c r="E22" s="30"/>
      <c r="F22" s="31"/>
      <c r="G22" s="31">
        <f>ROUNDUP(('Composantes du salaire'!K2*'Composantes du salaire'!K3),2)</f>
        <v>1510</v>
      </c>
      <c r="H22" s="31"/>
      <c r="I22" s="30"/>
      <c r="J22" s="30"/>
      <c r="K22" s="19"/>
    </row>
    <row r="23" spans="1:11" ht="11.25" customHeight="1">
      <c r="A23" s="18"/>
      <c r="B23" s="28"/>
      <c r="C23" s="34"/>
      <c r="D23" s="29">
        <f>IF((ISNA(VLOOKUP($C23,'Composantes du salaire'!$A$9:$M$16,11,FALSE))=TRUE),"",VLOOKUP($C23,'Composantes du salaire'!$A$9:$M$16,11,FALSE))</f>
      </c>
      <c r="E23" s="30"/>
      <c r="F23" s="31"/>
      <c r="G23" s="30">
        <f>IF((ISNA(VLOOKUP($C23,'Composantes du salaire'!$A$9:$M$16,11,FALSE))=TRUE),"",IF((OR(($C23="Absences congés payés :"),($C23="Maladie :"))=TRUE),,IF(($C23="Primes, avantages :"),D23,(D23*E23))))</f>
      </c>
      <c r="H23" s="30">
        <f>IF((ISNA(VLOOKUP($C23,'Composantes du salaire'!$A$9:$M$16,11,FALSE))=TRUE),"",IF((OR(($C23="Absences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/>
      <c r="D24" s="29">
        <f>IF((ISNA(VLOOKUP($C24,'Composantes du salaire'!$A$9:$M$16,11,FALSE))=TRUE),"",VLOOKUP($C24,'Composantes du salaire'!$A$9:$M$16,11,FALSE))</f>
      </c>
      <c r="E24" s="30"/>
      <c r="F24" s="31"/>
      <c r="G24" s="30">
        <f>IF((ISNA(VLOOKUP($C24,'Composantes du salaire'!$A$9:$M$16,11,FALSE))=TRUE),"",IF((OR(($C24="Absences congés payés :"),($C24="Maladie :"))=TRUE),,IF(($C24="Primes, avantages :"),D24,(D24*E24))))</f>
      </c>
      <c r="H24" s="30">
        <f>IF((ISNA(VLOOKUP($C24,'Composantes du salaire'!$A$9:$M$16,11,FALSE))=TRUE),"",IF((OR(($C24="Absences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salaire'!K11)=TRUE),,'Composantes du salaire'!A11)</f>
        <v>0</v>
      </c>
      <c r="D25" s="29">
        <f>IF((ISNA(VLOOKUP($C25,'Composantes du salaire'!$A$9:$M$16,11,FALSE))=TRUE),"",VLOOKUP($C25,'Composantes du salaire'!$A$9:$M$16,11,FALSE))</f>
      </c>
      <c r="E25" s="30"/>
      <c r="F25" s="31"/>
      <c r="G25" s="30">
        <f>IF((ISNA(VLOOKUP($C25,'Composantes du salaire'!$A$9:$M$16,11,FALSE))=TRUE),"",IF((OR(($C25="Absences congés payés :"),($C25="Maladie :"))=TRUE),,IF(($C25="Primes, avantages :"),D25,(D25*E25))))</f>
      </c>
      <c r="H25" s="30">
        <f>IF((ISNA(VLOOKUP($C25,'Composantes du salaire'!$A$9:$M$16,11,FALSE))=TRUE),"",IF((OR(($C25="Absences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salaire'!K12)=TRUE),,'Composantes du salaire'!A12)</f>
        <v>0</v>
      </c>
      <c r="D26" s="29">
        <f>IF((ISNA(VLOOKUP($C26,'Composantes du salaire'!$A$9:$M$16,11,FALSE))=TRUE),"",VLOOKUP($C26,'Composantes du salaire'!$A$9:$M$16,11,FALSE))</f>
      </c>
      <c r="E26" s="30"/>
      <c r="F26" s="31"/>
      <c r="G26" s="30">
        <f>IF((ISNA(VLOOKUP($C26,'Composantes du salaire'!$A$9:$M$16,11,FALSE))=TRUE),"",IF((OR(($C26="Absences congés payés :"),($C26="Maladie :"))=TRUE),,IF(($C26="Primes, avantages :"),D26,(D26*E26))))</f>
      </c>
      <c r="H26" s="30">
        <f>IF((ISNA(VLOOKUP($C26,'Composantes du salaire'!$A$9:$M$16,11,FALSE))=TRUE),"",IF((OR(($C26="Absences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salaire'!K13)=TRUE),,'Composantes du salaire'!A13)</f>
        <v>0</v>
      </c>
      <c r="D27" s="29">
        <f>IF((ISNA(VLOOKUP($C27,'Composantes du salaire'!$A$9:$M$16,11,FALSE))=TRUE),"",VLOOKUP($C27,'Composantes du salaire'!$A$9:$M$16,11,FALSE))</f>
      </c>
      <c r="E27" s="30"/>
      <c r="F27" s="31"/>
      <c r="G27" s="30">
        <f>IF((ISNA(VLOOKUP($C27,'Composantes du salaire'!$A$9:$M$16,11,FALSE))=TRUE),"",IF((OR(($C27="Absences congés payés :"),($C27="Maladie :"))=TRUE),,IF(($C27="Primes, avantages :"),D27,(D27*E27))))</f>
      </c>
      <c r="H27" s="30">
        <f>IF((ISNA(VLOOKUP($C27,'Composantes du salaire'!$A$9:$M$16,11,FALSE))=TRUE),"",IF((OR(($C27="Absences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salaire'!K14)=TRUE),,'Composantes du salaire'!A14)</f>
        <v>0</v>
      </c>
      <c r="D28" s="29">
        <f>IF((ISNA(VLOOKUP($C28,'Composantes du salaire'!$A$9:$M$16,11,FALSE))=TRUE),"",VLOOKUP($C28,'Composantes du salaire'!$A$9:$M$16,11,FALSE))</f>
      </c>
      <c r="E28" s="30"/>
      <c r="F28" s="31"/>
      <c r="G28" s="30">
        <f>IF((ISNA(VLOOKUP($C28,'Composantes du salaire'!$A$9:$M$16,11,FALSE))=TRUE),"",IF((OR(($C28="Absences congés payés :"),($C28="Maladie :"))=TRUE),,IF(($C28="Primes, avantages :"),D28,(D28*E28))))</f>
      </c>
      <c r="H28" s="30">
        <f>IF((ISNA(VLOOKUP($C28,'Composantes du salaire'!$A$9:$M$16,11,FALSE))=TRUE),"",IF((OR(($C28="Absences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salaire'!K15)=TRUE),,'Composantes du salaire'!A15)</f>
        <v>0</v>
      </c>
      <c r="D29" s="29">
        <f>IF((ISNA(VLOOKUP($C29,'Composantes du salaire'!$A$9:$M$16,11,FALSE))=TRUE),"",VLOOKUP($C29,'Composantes du salaire'!$A$9:$M$16,11,FALSE))</f>
      </c>
      <c r="E29" s="30"/>
      <c r="F29" s="31"/>
      <c r="G29" s="30">
        <f>IF((ISNA(VLOOKUP($C29,'Composantes du salaire'!$A$9:$M$16,11,FALSE))=TRUE),"",IF((OR(($C29="Absences congés payés :"),($C29="Maladie :"))=TRUE),,IF(($C29="Primes, avantages :"),D29,(D29*E29))))</f>
      </c>
      <c r="H29" s="30">
        <f>IF((ISNA(VLOOKUP($C29,'Composantes du salaire'!$A$9:$M$16,11,FALSE))=TRUE),"",IF((OR(($C29="Absences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1510</v>
      </c>
      <c r="H30" s="31"/>
      <c r="I30" s="30"/>
      <c r="J30" s="30"/>
      <c r="K30" s="19"/>
    </row>
    <row r="31" spans="1:11" ht="11.25" customHeight="1">
      <c r="A31" s="18"/>
      <c r="B31" s="102">
        <v>40299</v>
      </c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1510</v>
      </c>
      <c r="E32" s="31">
        <f>IF(('Param Taux'!$C$7="Oui"),IF(($G$30&lt;=('Param Taux'!$C$3*'Composantes du salaire'!$B$2)),0,(G30-('Param Taux'!$C$3*'Composantes du salaire'!$B$2))),$G$30)</f>
        <v>1510</v>
      </c>
      <c r="F32" s="33">
        <f>'Param Taux'!C12+'Param Taux'!C13</f>
        <v>0.0085</v>
      </c>
      <c r="G32" s="30"/>
      <c r="H32" s="31">
        <f aca="true" t="shared" si="0" ref="H32:H51">E32*F32</f>
        <v>12.835</v>
      </c>
      <c r="I32" s="33">
        <f>'Param Taux'!D12</f>
        <v>0.128</v>
      </c>
      <c r="J32" s="31">
        <f aca="true" t="shared" si="1" ref="J32:J51">I32*E32</f>
        <v>193.28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1510</v>
      </c>
      <c r="E33" s="31">
        <f>IF(('Param Taux'!$C$7="Oui"),IF(($G$30&lt;=('Param Taux'!$C$3*'Composantes du salaire'!$B$2)),0,(G30-('Param Taux'!$C$3*'Composantes du salaire'!$B$2))),$G$30)</f>
        <v>1510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110.22999999999999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1510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1510</v>
      </c>
      <c r="F34" s="33">
        <f>'Param Taux'!C15</f>
        <v>0.0665</v>
      </c>
      <c r="G34" s="30"/>
      <c r="H34" s="31">
        <f t="shared" si="0"/>
        <v>100.415</v>
      </c>
      <c r="I34" s="33">
        <f>'Param Taux'!D15</f>
        <v>0.083</v>
      </c>
      <c r="J34" s="31">
        <f t="shared" si="1"/>
        <v>125.33000000000001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1510</v>
      </c>
      <c r="E35" s="31">
        <f>IF(('Param Taux'!$C$7="Oui"),IF(($G$30&lt;=('Param Taux'!$C$3*'Composantes du salaire'!$B$2)),0,(G30-('Param Taux'!$C$3*'Composantes du salaire'!$B$2))),$G$30)</f>
        <v>1510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24.16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1510</v>
      </c>
      <c r="E36" s="31">
        <f>IF(('Param Taux'!$C$7="Oui"),IF(($G$30&lt;=('Param Taux'!$C$3*'Composantes du salaire'!$B$2)),0,(G30-('Param Taux'!$C$3*'Composantes du salaire'!$B$2))),$G$30)</f>
        <v>1510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81.53999999999999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1510</v>
      </c>
      <c r="E37" s="31">
        <f>IF(($G$30&lt;='Param Taux'!C2),$G$30,'Param Taux'!$C$2)</f>
        <v>1510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1.51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1510</v>
      </c>
      <c r="E38" s="31">
        <f>$G$30</f>
        <v>1510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1510</v>
      </c>
      <c r="F40" s="33">
        <f>'Param Taux'!C22</f>
        <v>0.024</v>
      </c>
      <c r="G40" s="30"/>
      <c r="H40" s="31">
        <f t="shared" si="0"/>
        <v>36.24</v>
      </c>
      <c r="I40" s="33">
        <f>'Param Taux'!D22</f>
        <v>0.04</v>
      </c>
      <c r="J40" s="31">
        <f t="shared" si="1"/>
        <v>60.4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1510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6.04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1510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1510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1510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1510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1434.5</v>
      </c>
      <c r="F50" s="33">
        <f>'Param Taux'!C37</f>
        <v>0.029</v>
      </c>
      <c r="G50" s="30"/>
      <c r="H50" s="31">
        <f t="shared" si="0"/>
        <v>41.600500000000004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1434.5</v>
      </c>
      <c r="F51" s="33">
        <f>'Param Taux'!C38</f>
        <v>0.051</v>
      </c>
      <c r="G51" s="30"/>
      <c r="H51" s="31">
        <f t="shared" si="0"/>
        <v>73.1595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1510</v>
      </c>
      <c r="F55" s="33">
        <f>'Param Taux'!C42</f>
        <v>0.0087</v>
      </c>
      <c r="G55" s="30"/>
      <c r="H55" s="31">
        <f>E55*F55</f>
        <v>13.136999999999999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1510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277.387</v>
      </c>
      <c r="I63" s="44"/>
      <c r="J63" s="43">
        <f>SUM(J32:J62)</f>
        <v>602.49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1274.2135</v>
      </c>
      <c r="E67" s="52"/>
      <c r="F67" s="52"/>
      <c r="G67" s="52"/>
      <c r="H67" s="52" t="s">
        <v>8</v>
      </c>
      <c r="I67" s="54"/>
      <c r="J67" s="53">
        <f>((G30-H63)-(SUM(H64:H65)))+SUM(G64:G65)</f>
        <v>1232.613</v>
      </c>
    </row>
    <row r="68" spans="2:10" ht="12.75" customHeight="1">
      <c r="B68" s="51"/>
      <c r="C68" s="52" t="s">
        <v>59</v>
      </c>
      <c r="D68" s="53">
        <f>D67+Sep!D68</f>
        <v>7008.17425</v>
      </c>
      <c r="E68" s="52"/>
      <c r="F68" s="52"/>
      <c r="G68" s="52"/>
      <c r="H68" s="52" t="s">
        <v>59</v>
      </c>
      <c r="I68" s="54"/>
      <c r="J68" s="53">
        <f>J67+Sep!J68</f>
        <v>6779.371500000001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A1" sqref="A1:E1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11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40483</v>
      </c>
      <c r="H2" s="7" t="s">
        <v>141</v>
      </c>
      <c r="I2" s="6">
        <f>DATE('Param Taux'!C1,(AA1+1),0)</f>
        <v>40512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spans="2:13" ht="7.5" customHeight="1">
      <c r="B10">
        <v>111100110001000</v>
      </c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/>
      <c r="D22" s="29"/>
      <c r="E22" s="30"/>
      <c r="F22" s="31"/>
      <c r="G22" s="31">
        <f>ROUNDUP(('Composantes du salaire'!L2*'Composantes du salaire'!L3),2)</f>
        <v>1510</v>
      </c>
      <c r="H22" s="31"/>
      <c r="I22" s="30"/>
      <c r="J22" s="30"/>
      <c r="K22" s="19"/>
    </row>
    <row r="23" spans="1:11" ht="11.25" customHeight="1">
      <c r="A23" s="18"/>
      <c r="B23" s="28"/>
      <c r="C23" s="34"/>
      <c r="D23" s="29">
        <f>IF((ISNA(VLOOKUP($C23,'Composantes du salaire'!$A$9:$M$16,12,FALSE))=TRUE),"",VLOOKUP($C23,'Composantes du salaire'!$A$9:$M$16,12,FALSE))</f>
      </c>
      <c r="E23" s="30"/>
      <c r="F23" s="31"/>
      <c r="G23" s="30">
        <f>IF((ISNA(VLOOKUP($C23,'Composantes du salaire'!$A$9:$M$16,12,FALSE))=TRUE),"",IF((OR(($C23="Absences congés payés :"),($C23="Maladie :"))=TRUE),,IF(($C23="Primes, avantages :"),D23,(D23*E23))))</f>
      </c>
      <c r="H23" s="30">
        <f>IF((ISNA(VLOOKUP($C23,'Composantes du salaire'!$A$9:$M$16,12,FALSE))=TRUE),"",IF((OR(($C23="Absences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/>
      <c r="D24" s="29">
        <f>IF((ISNA(VLOOKUP($C24,'Composantes du salaire'!$A$9:$M$16,12,FALSE))=TRUE),"",VLOOKUP($C24,'Composantes du salaire'!$A$9:$M$16,12,FALSE))</f>
      </c>
      <c r="E24" s="30"/>
      <c r="F24" s="31"/>
      <c r="G24" s="30">
        <f>IF((ISNA(VLOOKUP($C24,'Composantes du salaire'!$A$9:$M$16,12,FALSE))=TRUE),"",IF((OR(($C24="Absences congés payés :"),($C24="Maladie :"))=TRUE),,IF(($C24="Primes, avantages :"),D24,(D24*E24))))</f>
      </c>
      <c r="H24" s="30">
        <f>IF((ISNA(VLOOKUP($C24,'Composantes du salaire'!$A$9:$M$16,12,FALSE))=TRUE),"",IF((OR(($C24="Absences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salaire'!L11)=TRUE),,'Composantes du salaire'!A11)</f>
        <v>0</v>
      </c>
      <c r="D25" s="29">
        <f>IF((ISNA(VLOOKUP($C25,'Composantes du salaire'!$A$9:$M$16,12,FALSE))=TRUE),"",VLOOKUP($C25,'Composantes du salaire'!$A$9:$M$16,12,FALSE))</f>
      </c>
      <c r="E25" s="30"/>
      <c r="F25" s="31"/>
      <c r="G25" s="30">
        <f>IF((ISNA(VLOOKUP($C25,'Composantes du salaire'!$A$9:$M$16,12,FALSE))=TRUE),"",IF((OR(($C25="Absences congés payés :"),($C25="Maladie :"))=TRUE),,IF(($C25="Primes, avantages :"),D25,(D25*E25))))</f>
      </c>
      <c r="H25" s="30">
        <f>IF((ISNA(VLOOKUP($C25,'Composantes du salaire'!$A$9:$M$16,12,FALSE))=TRUE),"",IF((OR(($C25="Absences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salaire'!L12)=TRUE),,'Composantes du salaire'!A12)</f>
        <v>0</v>
      </c>
      <c r="D26" s="29">
        <f>IF((ISNA(VLOOKUP($C26,'Composantes du salaire'!$A$9:$M$16,12,FALSE))=TRUE),"",VLOOKUP($C26,'Composantes du salaire'!$A$9:$M$16,12,FALSE))</f>
      </c>
      <c r="E26" s="30"/>
      <c r="F26" s="31"/>
      <c r="G26" s="30">
        <f>IF((ISNA(VLOOKUP($C26,'Composantes du salaire'!$A$9:$M$16,12,FALSE))=TRUE),"",IF((OR(($C26="Absences congés payés :"),($C26="Maladie :"))=TRUE),,IF(($C26="Primes, avantages :"),D26,(D26*E26))))</f>
      </c>
      <c r="H26" s="30">
        <f>IF((ISNA(VLOOKUP($C26,'Composantes du salaire'!$A$9:$M$16,12,FALSE))=TRUE),"",IF((OR(($C26="Absences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salaire'!L13)=TRUE),,'Composantes du salaire'!A13)</f>
        <v>0</v>
      </c>
      <c r="D27" s="29">
        <f>IF((ISNA(VLOOKUP($C27,'Composantes du salaire'!$A$9:$M$16,12,FALSE))=TRUE),"",VLOOKUP($C27,'Composantes du salaire'!$A$9:$M$16,12,FALSE))</f>
      </c>
      <c r="E27" s="30"/>
      <c r="F27" s="31"/>
      <c r="G27" s="30">
        <f>IF((ISNA(VLOOKUP($C27,'Composantes du salaire'!$A$9:$M$16,12,FALSE))=TRUE),"",IF((OR(($C27="Absences congés payés :"),($C27="Maladie :"))=TRUE),,IF(($C27="Primes, avantages :"),D27,(D27*E27))))</f>
      </c>
      <c r="H27" s="30">
        <f>IF((ISNA(VLOOKUP($C27,'Composantes du salaire'!$A$9:$M$16,12,FALSE))=TRUE),"",IF((OR(($C27="Absences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salaire'!L14)=TRUE),,'Composantes du salaire'!A14)</f>
        <v>0</v>
      </c>
      <c r="D28" s="29">
        <f>IF((ISNA(VLOOKUP($C28,'Composantes du salaire'!$A$9:$M$16,12,FALSE))=TRUE),"",VLOOKUP($C28,'Composantes du salaire'!$A$9:$M$16,12,FALSE))</f>
      </c>
      <c r="E28" s="30"/>
      <c r="F28" s="31"/>
      <c r="G28" s="30">
        <f>IF((ISNA(VLOOKUP($C28,'Composantes du salaire'!$A$9:$M$16,12,FALSE))=TRUE),"",IF((OR(($C28="Absences congés payés :"),($C28="Maladie :"))=TRUE),,IF(($C28="Primes, avantages :"),D28,(D28*E28))))</f>
      </c>
      <c r="H28" s="30">
        <f>IF((ISNA(VLOOKUP($C28,'Composantes du salaire'!$A$9:$M$16,12,FALSE))=TRUE),"",IF((OR(($C28="Absences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salaire'!L15)=TRUE),,'Composantes du salaire'!A15)</f>
        <v>0</v>
      </c>
      <c r="D29" s="29">
        <f>IF((ISNA(VLOOKUP($C29,'Composantes du salaire'!$A$9:$M$16,12,FALSE))=TRUE),"",VLOOKUP($C29,'Composantes du salaire'!$A$9:$M$16,12,FALSE))</f>
      </c>
      <c r="E29" s="30"/>
      <c r="F29" s="31"/>
      <c r="G29" s="30">
        <f>IF((ISNA(VLOOKUP($C29,'Composantes du salaire'!$A$9:$M$16,12,FALSE))=TRUE),"",IF((OR(($C29="Absences congés payés :"),($C29="Maladie :"))=TRUE),,IF(($C29="Primes, avantages :"),D29,(D29*E29))))</f>
      </c>
      <c r="H29" s="30">
        <f>IF((ISNA(VLOOKUP($C29,'Composantes du salaire'!$A$9:$M$16,12,FALSE))=TRUE),"",IF((OR(($C29="Absences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1510</v>
      </c>
      <c r="H30" s="31"/>
      <c r="I30" s="30"/>
      <c r="J30" s="30"/>
      <c r="K30" s="19"/>
    </row>
    <row r="31" spans="1:11" ht="11.25" customHeight="1">
      <c r="A31" s="18"/>
      <c r="B31" s="102">
        <v>40299</v>
      </c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1510</v>
      </c>
      <c r="E32" s="31">
        <f>IF(('Param Taux'!$C$7="Oui"),IF(($G$30&lt;=('Param Taux'!$C$3*'Composantes du salaire'!$B$2)),0,(G30-('Param Taux'!$C$3*'Composantes du salaire'!$B$2))),$G$30)</f>
        <v>1510</v>
      </c>
      <c r="F32" s="33">
        <f>'Param Taux'!C12+'Param Taux'!C13</f>
        <v>0.0085</v>
      </c>
      <c r="G32" s="30"/>
      <c r="H32" s="31">
        <f aca="true" t="shared" si="0" ref="H32:H51">E32*F32</f>
        <v>12.835</v>
      </c>
      <c r="I32" s="33">
        <f>'Param Taux'!D12</f>
        <v>0.128</v>
      </c>
      <c r="J32" s="31">
        <f aca="true" t="shared" si="1" ref="J32:J51">I32*E32</f>
        <v>193.28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1510</v>
      </c>
      <c r="E33" s="31">
        <f>IF(('Param Taux'!$C$7="Oui"),IF(($G$30&lt;=('Param Taux'!$C$3*'Composantes du salaire'!$B$2)),0,(G30-('Param Taux'!$C$3*'Composantes du salaire'!$B$2))),$G$30)</f>
        <v>1510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110.22999999999999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1510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1510</v>
      </c>
      <c r="F34" s="33">
        <f>'Param Taux'!C15</f>
        <v>0.0665</v>
      </c>
      <c r="G34" s="30"/>
      <c r="H34" s="31">
        <f t="shared" si="0"/>
        <v>100.415</v>
      </c>
      <c r="I34" s="33">
        <f>'Param Taux'!D15</f>
        <v>0.083</v>
      </c>
      <c r="J34" s="31">
        <f t="shared" si="1"/>
        <v>125.33000000000001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1510</v>
      </c>
      <c r="E35" s="31">
        <f>IF(('Param Taux'!$C$7="Oui"),IF(($G$30&lt;=('Param Taux'!$C$3*'Composantes du salaire'!$B$2)),0,(G30-('Param Taux'!$C$3*'Composantes du salaire'!$B$2))),$G$30)</f>
        <v>1510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24.16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1510</v>
      </c>
      <c r="E36" s="31">
        <f>IF(('Param Taux'!$C$7="Oui"),IF(($G$30&lt;=('Param Taux'!$C$3*'Composantes du salaire'!$B$2)),0,(G30-('Param Taux'!$C$3*'Composantes du salaire'!$B$2))),$G$30)</f>
        <v>1510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81.53999999999999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1510</v>
      </c>
      <c r="E37" s="31">
        <f>IF(($G$30&lt;='Param Taux'!C2),$G$30,'Param Taux'!$C$2)</f>
        <v>1510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1.51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1510</v>
      </c>
      <c r="E38" s="31">
        <f>$G$30</f>
        <v>1510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1510</v>
      </c>
      <c r="F40" s="33">
        <f>'Param Taux'!C22</f>
        <v>0.024</v>
      </c>
      <c r="G40" s="30"/>
      <c r="H40" s="31">
        <f t="shared" si="0"/>
        <v>36.24</v>
      </c>
      <c r="I40" s="33">
        <f>'Param Taux'!D22</f>
        <v>0.04</v>
      </c>
      <c r="J40" s="31">
        <f t="shared" si="1"/>
        <v>60.4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1510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6.04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1510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1510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1510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1510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1434.5</v>
      </c>
      <c r="F50" s="33">
        <f>'Param Taux'!C37</f>
        <v>0.029</v>
      </c>
      <c r="G50" s="30"/>
      <c r="H50" s="31">
        <f t="shared" si="0"/>
        <v>41.600500000000004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1434.5</v>
      </c>
      <c r="F51" s="33">
        <f>'Param Taux'!C38</f>
        <v>0.051</v>
      </c>
      <c r="G51" s="30"/>
      <c r="H51" s="31">
        <f t="shared" si="0"/>
        <v>73.1595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1510</v>
      </c>
      <c r="F55" s="33">
        <f>'Param Taux'!C42</f>
        <v>0.0087</v>
      </c>
      <c r="G55" s="30"/>
      <c r="H55" s="31">
        <f>E55*F55</f>
        <v>13.136999999999999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1510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277.387</v>
      </c>
      <c r="I63" s="44"/>
      <c r="J63" s="43">
        <f>SUM(J32:J62)</f>
        <v>602.49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1274.2135</v>
      </c>
      <c r="E67" s="52"/>
      <c r="F67" s="52"/>
      <c r="G67" s="52"/>
      <c r="H67" s="52" t="s">
        <v>8</v>
      </c>
      <c r="I67" s="54"/>
      <c r="J67" s="53">
        <f>((G30-H63)-(SUM(H64:H65)))+SUM(G64:G65)</f>
        <v>1232.613</v>
      </c>
    </row>
    <row r="68" spans="2:10" ht="12.75" customHeight="1">
      <c r="B68" s="51"/>
      <c r="C68" s="52" t="s">
        <v>59</v>
      </c>
      <c r="D68" s="53">
        <f>D67+Oct!D68</f>
        <v>8282.38775</v>
      </c>
      <c r="E68" s="52"/>
      <c r="F68" s="52"/>
      <c r="G68" s="52"/>
      <c r="H68" s="52" t="s">
        <v>59</v>
      </c>
      <c r="I68" s="54"/>
      <c r="J68" s="53">
        <f>J67+Oct!J68</f>
        <v>8011.984500000001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A1" sqref="A1:E1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12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40513</v>
      </c>
      <c r="H2" s="7" t="s">
        <v>141</v>
      </c>
      <c r="I2" s="6">
        <f>DATE('Param Taux'!C1,(AA1+1),0)</f>
        <v>40543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spans="2:13" ht="7.5" customHeight="1">
      <c r="B10">
        <v>111100110001000</v>
      </c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/>
      <c r="D22" s="29"/>
      <c r="E22" s="30"/>
      <c r="F22" s="31"/>
      <c r="G22" s="31">
        <f>ROUNDUP(('Composantes du salaire'!M2*'Composantes du salaire'!M3),2)</f>
        <v>1510</v>
      </c>
      <c r="H22" s="31"/>
      <c r="I22" s="30"/>
      <c r="J22" s="30"/>
      <c r="K22" s="19"/>
    </row>
    <row r="23" spans="1:11" ht="11.25" customHeight="1">
      <c r="A23" s="18"/>
      <c r="B23" s="28"/>
      <c r="C23" s="34"/>
      <c r="D23" s="29">
        <f>IF((ISNA(VLOOKUP($C23,'Composantes du salaire'!$A$9:$M$16,13,FALSE))=TRUE),"",VLOOKUP($C23,'Composantes du salaire'!$A$9:$M$16,13,FALSE))</f>
      </c>
      <c r="E23" s="30"/>
      <c r="F23" s="31"/>
      <c r="G23" s="30">
        <f>IF((ISNA(VLOOKUP($C23,'Composantes du salaire'!$A$9:$M$16,13,FALSE))=TRUE),"",IF((OR(($C23="Absences congés payés :"),($C23="Maladie :"))=TRUE),,IF(($C23="Primes, avantages :"),D23,(D23*E23))))</f>
      </c>
      <c r="H23" s="30">
        <f>IF((ISNA(VLOOKUP($C23,'Composantes du salaire'!$A$9:$M$16,13,FALSE))=TRUE),"",IF((OR(($C23="Absences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/>
      <c r="D24" s="29">
        <f>IF((ISNA(VLOOKUP($C24,'Composantes du salaire'!$A$9:$M$16,13,FALSE))=TRUE),"",VLOOKUP($C24,'Composantes du salaire'!$A$9:$M$16,13,FALSE))</f>
      </c>
      <c r="E24" s="30"/>
      <c r="F24" s="31"/>
      <c r="G24" s="30">
        <f>IF((ISNA(VLOOKUP($C24,'Composantes du salaire'!$A$9:$M$16,13,FALSE))=TRUE),"",IF((OR(($C24="Absences congés payés :"),($C24="Maladie :"))=TRUE),,IF(($C24="Primes, avantages :"),D24,(D24*E24))))</f>
      </c>
      <c r="H24" s="30">
        <f>IF((ISNA(VLOOKUP($C24,'Composantes du salaire'!$A$9:$M$16,13,FALSE))=TRUE),"",IF((OR(($C24="Absences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salaire'!M11)=TRUE),,'Composantes du salaire'!A11)</f>
        <v>0</v>
      </c>
      <c r="D25" s="29">
        <f>IF((ISNA(VLOOKUP($C25,'Composantes du salaire'!$A$9:$M$16,13,FALSE))=TRUE),"",VLOOKUP($C25,'Composantes du salaire'!$A$9:$M$16,13,FALSE))</f>
      </c>
      <c r="E25" s="30"/>
      <c r="F25" s="31"/>
      <c r="G25" s="30">
        <f>IF((ISNA(VLOOKUP($C25,'Composantes du salaire'!$A$9:$M$16,13,FALSE))=TRUE),"",IF((OR(($C25="Absences congés payés :"),($C25="Maladie :"))=TRUE),,IF(($C25="Primes, avantages :"),D25,(D25*E25))))</f>
      </c>
      <c r="H25" s="30">
        <f>IF((ISNA(VLOOKUP($C25,'Composantes du salaire'!$A$9:$M$16,13,FALSE))=TRUE),"",IF((OR(($C25="Absences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salaire'!M12)=TRUE),,'Composantes du salaire'!A12)</f>
        <v>0</v>
      </c>
      <c r="D26" s="29">
        <f>IF((ISNA(VLOOKUP($C26,'Composantes du salaire'!$A$9:$M$16,13,FALSE))=TRUE),"",VLOOKUP($C26,'Composantes du salaire'!$A$9:$M$16,13,FALSE))</f>
      </c>
      <c r="E26" s="30"/>
      <c r="F26" s="31"/>
      <c r="G26" s="30">
        <f>IF((ISNA(VLOOKUP($C26,'Composantes du salaire'!$A$9:$M$16,13,FALSE))=TRUE),"",IF((OR(($C26="Absences congés payés :"),($C26="Maladie :"))=TRUE),,IF(($C26="Primes, avantages :"),D26,(D26*E26))))</f>
      </c>
      <c r="H26" s="30">
        <f>IF((ISNA(VLOOKUP($C26,'Composantes du salaire'!$A$9:$M$16,13,FALSE))=TRUE),"",IF((OR(($C26="Absences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salaire'!M13)=TRUE),,'Composantes du salaire'!A13)</f>
        <v>0</v>
      </c>
      <c r="D27" s="29">
        <f>IF((ISNA(VLOOKUP($C27,'Composantes du salaire'!$A$9:$M$16,13,FALSE))=TRUE),"",VLOOKUP($C27,'Composantes du salaire'!$A$9:$M$16,13,FALSE))</f>
      </c>
      <c r="E27" s="30"/>
      <c r="F27" s="31"/>
      <c r="G27" s="30">
        <f>IF((ISNA(VLOOKUP($C27,'Composantes du salaire'!$A$9:$M$16,13,FALSE))=TRUE),"",IF((OR(($C27="Absences congés payés :"),($C27="Maladie :"))=TRUE),,IF(($C27="Primes, avantages :"),D27,(D27*E27))))</f>
      </c>
      <c r="H27" s="30">
        <f>IF((ISNA(VLOOKUP($C27,'Composantes du salaire'!$A$9:$M$16,13,FALSE))=TRUE),"",IF((OR(($C27="Absences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salaire'!M14)=TRUE),,'Composantes du salaire'!A14)</f>
        <v>0</v>
      </c>
      <c r="D28" s="29">
        <f>IF((ISNA(VLOOKUP($C28,'Composantes du salaire'!$A$9:$M$16,13,FALSE))=TRUE),"",VLOOKUP($C28,'Composantes du salaire'!$A$9:$M$16,13,FALSE))</f>
      </c>
      <c r="E28" s="30"/>
      <c r="F28" s="31"/>
      <c r="G28" s="30">
        <f>IF((ISNA(VLOOKUP($C28,'Composantes du salaire'!$A$9:$M$16,13,FALSE))=TRUE),"",IF((OR(($C28="Absences congés payés :"),($C28="Maladie :"))=TRUE),,IF(($C28="Primes, avantages :"),D28,(D28*E28))))</f>
      </c>
      <c r="H28" s="30">
        <f>IF((ISNA(VLOOKUP($C28,'Composantes du salaire'!$A$9:$M$16,13,FALSE))=TRUE),"",IF((OR(($C28="Absences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salaire'!M15)=TRUE),,'Composantes du salaire'!A15)</f>
        <v>0</v>
      </c>
      <c r="D29" s="29">
        <f>IF((ISNA(VLOOKUP($C29,'Composantes du salaire'!$A$9:$M$16,13,FALSE))=TRUE),"",VLOOKUP($C29,'Composantes du salaire'!$A$9:$M$16,13,FALSE))</f>
      </c>
      <c r="E29" s="30"/>
      <c r="F29" s="31"/>
      <c r="G29" s="30">
        <f>IF((ISNA(VLOOKUP($C29,'Composantes du salaire'!$A$9:$M$16,13,FALSE))=TRUE),"",IF((OR(($C29="Absences congés payés :"),($C29="Maladie :"))=TRUE),,IF(($C29="Primes, avantages :"),D29,(D29*E29))))</f>
      </c>
      <c r="H29" s="30">
        <f>IF((ISNA(VLOOKUP($C29,'Composantes du salaire'!$A$9:$M$16,13,FALSE))=TRUE),"",IF((OR(($C29="Absences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1510</v>
      </c>
      <c r="H30" s="31"/>
      <c r="I30" s="30"/>
      <c r="J30" s="30"/>
      <c r="K30" s="19"/>
    </row>
    <row r="31" spans="1:11" ht="11.25" customHeight="1">
      <c r="A31" s="18"/>
      <c r="B31" s="102">
        <v>40299</v>
      </c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1510</v>
      </c>
      <c r="E32" s="31">
        <f>IF(('Param Taux'!$C$7="Oui"),IF(($G$30&lt;=('Param Taux'!$C$3*'Composantes du salaire'!$B$2)),0,(G30-('Param Taux'!$C$3*'Composantes du salaire'!$B$2))),$G$30)</f>
        <v>1510</v>
      </c>
      <c r="F32" s="33">
        <f>'Param Taux'!C12+'Param Taux'!C13</f>
        <v>0.0085</v>
      </c>
      <c r="G32" s="30"/>
      <c r="H32" s="31">
        <f aca="true" t="shared" si="0" ref="H32:H51">E32*F32</f>
        <v>12.835</v>
      </c>
      <c r="I32" s="33">
        <f>'Param Taux'!D12</f>
        <v>0.128</v>
      </c>
      <c r="J32" s="31">
        <f aca="true" t="shared" si="1" ref="J32:J51">I32*E32</f>
        <v>193.28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1510</v>
      </c>
      <c r="E33" s="31">
        <f>IF(('Param Taux'!$C$7="Oui"),IF(($G$30&lt;=('Param Taux'!$C$3*'Composantes du salaire'!$B$2)),0,(G30-('Param Taux'!$C$3*'Composantes du salaire'!$B$2))),$G$30)</f>
        <v>1510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110.22999999999999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1510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1510</v>
      </c>
      <c r="F34" s="33">
        <f>'Param Taux'!C15</f>
        <v>0.0665</v>
      </c>
      <c r="G34" s="30"/>
      <c r="H34" s="31">
        <f t="shared" si="0"/>
        <v>100.415</v>
      </c>
      <c r="I34" s="33">
        <f>'Param Taux'!D15</f>
        <v>0.083</v>
      </c>
      <c r="J34" s="31">
        <f t="shared" si="1"/>
        <v>125.33000000000001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1510</v>
      </c>
      <c r="E35" s="31">
        <f>IF(('Param Taux'!$C$7="Oui"),IF(($G$30&lt;=('Param Taux'!$C$3*'Composantes du salaire'!$B$2)),0,(G30-('Param Taux'!$C$3*'Composantes du salaire'!$B$2))),$G$30)</f>
        <v>1510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24.16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1510</v>
      </c>
      <c r="E36" s="31">
        <f>IF(('Param Taux'!$C$7="Oui"),IF(($G$30&lt;=('Param Taux'!$C$3*'Composantes du salaire'!$B$2)),0,(G30-('Param Taux'!$C$3*'Composantes du salaire'!$B$2))),$G$30)</f>
        <v>1510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81.53999999999999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1510</v>
      </c>
      <c r="E37" s="31">
        <f>IF(($G$30&lt;='Param Taux'!C2),$G$30,'Param Taux'!$C$2)</f>
        <v>1510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1.51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1510</v>
      </c>
      <c r="E38" s="31">
        <f>$G$30</f>
        <v>1510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1510</v>
      </c>
      <c r="F40" s="33">
        <f>'Param Taux'!C22</f>
        <v>0.024</v>
      </c>
      <c r="G40" s="30"/>
      <c r="H40" s="31">
        <f t="shared" si="0"/>
        <v>36.24</v>
      </c>
      <c r="I40" s="33">
        <f>'Param Taux'!D22</f>
        <v>0.04</v>
      </c>
      <c r="J40" s="31">
        <f t="shared" si="1"/>
        <v>60.4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1510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6.04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1510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1510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1510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1510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1434.5</v>
      </c>
      <c r="F50" s="33">
        <f>'Param Taux'!C37</f>
        <v>0.029</v>
      </c>
      <c r="G50" s="30"/>
      <c r="H50" s="31">
        <f t="shared" si="0"/>
        <v>41.600500000000004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1434.5</v>
      </c>
      <c r="F51" s="33">
        <f>'Param Taux'!C38</f>
        <v>0.051</v>
      </c>
      <c r="G51" s="30"/>
      <c r="H51" s="31">
        <f t="shared" si="0"/>
        <v>73.1595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1510</v>
      </c>
      <c r="F55" s="33">
        <f>'Param Taux'!C42</f>
        <v>0.0087</v>
      </c>
      <c r="G55" s="30"/>
      <c r="H55" s="31">
        <f>E55*F55</f>
        <v>13.136999999999999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1510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277.387</v>
      </c>
      <c r="I63" s="44"/>
      <c r="J63" s="43">
        <f>SUM(J32:J62)</f>
        <v>602.49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1274.2135</v>
      </c>
      <c r="E67" s="52"/>
      <c r="F67" s="52"/>
      <c r="G67" s="52"/>
      <c r="H67" s="52" t="s">
        <v>8</v>
      </c>
      <c r="I67" s="54"/>
      <c r="J67" s="53">
        <f>((G30-H63)-(SUM(H64:H65)))+SUM(G64:G65)</f>
        <v>1232.613</v>
      </c>
    </row>
    <row r="68" spans="2:10" ht="12.75" customHeight="1">
      <c r="B68" s="51"/>
      <c r="C68" s="52" t="s">
        <v>59</v>
      </c>
      <c r="D68" s="53">
        <f>D67+Nov!D68</f>
        <v>9556.60125</v>
      </c>
      <c r="E68" s="52"/>
      <c r="F68" s="52"/>
      <c r="G68" s="52"/>
      <c r="H68" s="52" t="s">
        <v>59</v>
      </c>
      <c r="I68" s="54"/>
      <c r="J68" s="53">
        <f>J67+Nov!J68</f>
        <v>9244.597500000002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28" sqref="C28"/>
    </sheetView>
  </sheetViews>
  <sheetFormatPr defaultColWidth="11.421875" defaultRowHeight="12.75" customHeight="1"/>
  <cols>
    <col min="1" max="1" width="7.7109375" style="0" customWidth="1"/>
    <col min="2" max="2" width="37.57421875" style="0" customWidth="1"/>
    <col min="3" max="3" width="15.57421875" style="0" customWidth="1"/>
    <col min="4" max="4" width="17.140625" style="0" customWidth="1"/>
    <col min="5" max="5" width="27.8515625" style="0" customWidth="1"/>
    <col min="6" max="6" width="33.00390625" style="0" customWidth="1"/>
    <col min="7" max="28" width="11.421875" style="0" customWidth="1"/>
  </cols>
  <sheetData>
    <row r="1" spans="1:5" ht="12.75" customHeight="1">
      <c r="A1" s="141" t="s">
        <v>32</v>
      </c>
      <c r="B1" s="141"/>
      <c r="C1" s="63">
        <v>2010</v>
      </c>
      <c r="D1" s="64"/>
      <c r="E1" s="64"/>
    </row>
    <row r="2" spans="1:28" ht="12.75" customHeight="1">
      <c r="A2" s="141" t="s">
        <v>71</v>
      </c>
      <c r="B2" s="141"/>
      <c r="C2" s="65">
        <v>2885</v>
      </c>
      <c r="D2" s="64"/>
      <c r="E2" s="64"/>
      <c r="Z2" s="66" t="s">
        <v>27</v>
      </c>
      <c r="AA2" s="3">
        <v>2002</v>
      </c>
      <c r="AB2" s="66" t="s">
        <v>71</v>
      </c>
    </row>
    <row r="3" spans="1:28" ht="12.75" customHeight="1">
      <c r="A3" s="142" t="s">
        <v>45</v>
      </c>
      <c r="B3" s="142"/>
      <c r="C3" s="63">
        <v>8</v>
      </c>
      <c r="D3" s="64"/>
      <c r="E3" s="64"/>
      <c r="Z3" s="66" t="s">
        <v>144</v>
      </c>
      <c r="AA3" s="3">
        <v>2003</v>
      </c>
      <c r="AB3" s="66" t="s">
        <v>85</v>
      </c>
    </row>
    <row r="4" spans="1:28" ht="26.25" customHeight="1">
      <c r="A4" s="143" t="s">
        <v>20</v>
      </c>
      <c r="B4" s="143"/>
      <c r="C4" s="64" t="s">
        <v>150</v>
      </c>
      <c r="D4" s="64" t="str">
        <f>IF((C4="Non"),"Attention les taux sont différents pour les retraites non cadres tranche B !","")</f>
        <v>Attention les taux sont différents pour les retraites non cadres tranche B !</v>
      </c>
      <c r="E4" s="64"/>
      <c r="AA4" s="3">
        <v>2004</v>
      </c>
      <c r="AB4" s="66" t="s">
        <v>0</v>
      </c>
    </row>
    <row r="5" spans="1:28" ht="12.75" customHeight="1">
      <c r="A5" s="141" t="s">
        <v>104</v>
      </c>
      <c r="B5" s="141"/>
      <c r="C5" s="64" t="s">
        <v>144</v>
      </c>
      <c r="D5" s="64"/>
      <c r="E5" s="64"/>
      <c r="AA5" s="3">
        <v>2005</v>
      </c>
      <c r="AB5" s="66" t="s">
        <v>44</v>
      </c>
    </row>
    <row r="6" spans="1:28" ht="12.75" customHeight="1">
      <c r="A6" s="141" t="s">
        <v>78</v>
      </c>
      <c r="B6" s="141"/>
      <c r="C6" s="64" t="s">
        <v>150</v>
      </c>
      <c r="D6" s="64">
        <f>IF((C6="Oui"),"Montant =&gt;","")</f>
      </c>
      <c r="E6" s="67">
        <v>0</v>
      </c>
      <c r="AA6" s="3">
        <v>2006</v>
      </c>
      <c r="AB6" s="3">
        <v>2005</v>
      </c>
    </row>
    <row r="7" spans="1:28" ht="12.75" customHeight="1">
      <c r="A7" s="62" t="s">
        <v>101</v>
      </c>
      <c r="B7" s="62"/>
      <c r="C7" s="64" t="s">
        <v>151</v>
      </c>
      <c r="D7" s="64"/>
      <c r="E7" s="67"/>
      <c r="AB7" s="3">
        <v>2006</v>
      </c>
    </row>
    <row r="8" spans="1:28" ht="12.75" customHeight="1">
      <c r="A8" s="68" t="s">
        <v>30</v>
      </c>
      <c r="B8" s="68"/>
      <c r="C8" s="68"/>
      <c r="D8" s="68"/>
      <c r="AB8" s="3">
        <v>2007</v>
      </c>
    </row>
    <row r="9" spans="1:28" ht="12.75" customHeight="1">
      <c r="A9" s="69" t="s">
        <v>97</v>
      </c>
      <c r="B9" s="69"/>
      <c r="C9" s="70" t="s">
        <v>121</v>
      </c>
      <c r="D9" s="69"/>
      <c r="AB9" s="3">
        <v>2008</v>
      </c>
    </row>
    <row r="10" spans="1:28" ht="18.75" customHeight="1">
      <c r="A10" s="71"/>
      <c r="B10" s="72"/>
      <c r="C10" s="73" t="s">
        <v>110</v>
      </c>
      <c r="D10" s="74" t="s">
        <v>114</v>
      </c>
      <c r="E10" s="19"/>
      <c r="AB10" s="3">
        <v>2009</v>
      </c>
    </row>
    <row r="11" spans="1:28" ht="18.75" customHeight="1">
      <c r="A11" s="75"/>
      <c r="B11" s="76"/>
      <c r="C11" s="77"/>
      <c r="D11" s="78"/>
      <c r="E11" s="19"/>
      <c r="AB11" s="3">
        <v>2010</v>
      </c>
    </row>
    <row r="12" spans="1:28" ht="18.75" customHeight="1">
      <c r="A12" s="79" t="s">
        <v>70</v>
      </c>
      <c r="B12" s="80" t="s">
        <v>35</v>
      </c>
      <c r="C12" s="81">
        <v>0.0085</v>
      </c>
      <c r="D12" s="81">
        <v>0.128</v>
      </c>
      <c r="E12" s="19"/>
      <c r="AB12" s="3">
        <v>2011</v>
      </c>
    </row>
    <row r="13" spans="1:28" ht="18.75" customHeight="1">
      <c r="A13" s="79"/>
      <c r="B13" s="80" t="s">
        <v>113</v>
      </c>
      <c r="C13" s="81">
        <v>0</v>
      </c>
      <c r="D13" s="81">
        <v>0</v>
      </c>
      <c r="E13" s="19"/>
      <c r="AB13" s="3">
        <v>2012</v>
      </c>
    </row>
    <row r="14" spans="1:28" ht="18.75" customHeight="1">
      <c r="A14" s="79"/>
      <c r="B14" s="80" t="s">
        <v>76</v>
      </c>
      <c r="C14" s="81"/>
      <c r="D14" s="81">
        <v>0.073</v>
      </c>
      <c r="E14" s="19"/>
      <c r="AB14" s="3">
        <v>2013</v>
      </c>
    </row>
    <row r="15" spans="1:28" ht="18.75" customHeight="1">
      <c r="A15" s="79"/>
      <c r="B15" s="80" t="s">
        <v>39</v>
      </c>
      <c r="C15" s="81">
        <v>0.0665</v>
      </c>
      <c r="D15" s="81">
        <v>0.083</v>
      </c>
      <c r="E15" s="19"/>
      <c r="AB15" s="3">
        <v>2014</v>
      </c>
    </row>
    <row r="16" spans="1:5" ht="18.75" customHeight="1">
      <c r="A16" s="79"/>
      <c r="B16" s="80" t="s">
        <v>68</v>
      </c>
      <c r="C16" s="81"/>
      <c r="D16" s="81">
        <v>0.016</v>
      </c>
      <c r="E16" s="19"/>
    </row>
    <row r="17" spans="1:5" ht="18.75" customHeight="1">
      <c r="A17" s="79"/>
      <c r="B17" s="80" t="s">
        <v>102</v>
      </c>
      <c r="C17" s="81"/>
      <c r="D17" s="81">
        <v>0.054</v>
      </c>
      <c r="E17" s="19"/>
    </row>
    <row r="18" spans="1:5" ht="18.75" customHeight="1">
      <c r="A18" s="79"/>
      <c r="B18" s="80" t="s">
        <v>115</v>
      </c>
      <c r="C18" s="81"/>
      <c r="D18" s="81">
        <v>0.001</v>
      </c>
      <c r="E18" s="19"/>
    </row>
    <row r="19" spans="1:5" ht="18.75" customHeight="1">
      <c r="A19" s="79"/>
      <c r="B19" s="80" t="s">
        <v>89</v>
      </c>
      <c r="C19" s="81"/>
      <c r="D19" s="81"/>
      <c r="E19" s="19"/>
    </row>
    <row r="20" spans="1:5" ht="18.75" customHeight="1">
      <c r="A20" s="79"/>
      <c r="B20" s="80" t="s">
        <v>33</v>
      </c>
      <c r="C20" s="81"/>
      <c r="D20" s="81">
        <v>0.014</v>
      </c>
      <c r="E20" s="19"/>
    </row>
    <row r="21" spans="1:5" ht="18.75" customHeight="1">
      <c r="A21" s="82"/>
      <c r="B21" s="80"/>
      <c r="C21" s="81"/>
      <c r="D21" s="81"/>
      <c r="E21" s="19"/>
    </row>
    <row r="22" spans="1:5" ht="18.75" customHeight="1">
      <c r="A22" s="79" t="s">
        <v>122</v>
      </c>
      <c r="B22" s="80" t="s">
        <v>134</v>
      </c>
      <c r="C22" s="81">
        <v>0.024</v>
      </c>
      <c r="D22" s="81">
        <v>0.04</v>
      </c>
      <c r="E22" s="19"/>
    </row>
    <row r="23" spans="1:5" ht="18.75" customHeight="1">
      <c r="A23" s="79"/>
      <c r="B23" s="80" t="s">
        <v>29</v>
      </c>
      <c r="C23" s="81"/>
      <c r="D23" s="81"/>
      <c r="E23" s="19"/>
    </row>
    <row r="24" spans="1:5" ht="18.75" customHeight="1">
      <c r="A24" s="79"/>
      <c r="B24" s="80" t="s">
        <v>12</v>
      </c>
      <c r="C24" s="81"/>
      <c r="D24" s="81">
        <v>0.004</v>
      </c>
      <c r="E24" s="19"/>
    </row>
    <row r="25" spans="1:5" ht="18.75" customHeight="1">
      <c r="A25" s="83"/>
      <c r="B25" s="80"/>
      <c r="C25" s="81"/>
      <c r="D25" s="81"/>
      <c r="E25" s="19"/>
    </row>
    <row r="26" spans="1:5" ht="18.75" customHeight="1">
      <c r="A26" s="84" t="s">
        <v>140</v>
      </c>
      <c r="B26" s="80" t="s">
        <v>7</v>
      </c>
      <c r="C26" s="81">
        <v>0.03</v>
      </c>
      <c r="D26" s="81">
        <v>0.045</v>
      </c>
      <c r="E26" s="19"/>
    </row>
    <row r="27" spans="1:5" ht="18.75" customHeight="1">
      <c r="A27" s="79"/>
      <c r="B27" s="80" t="s">
        <v>4</v>
      </c>
      <c r="C27" s="81"/>
      <c r="D27" s="81"/>
      <c r="E27" s="19"/>
    </row>
    <row r="28" spans="1:5" ht="18.75" customHeight="1">
      <c r="A28" s="79"/>
      <c r="B28" s="80" t="s">
        <v>13</v>
      </c>
      <c r="C28" s="81">
        <v>0.008</v>
      </c>
      <c r="D28" s="81">
        <v>0.012</v>
      </c>
      <c r="E28" s="19"/>
    </row>
    <row r="29" spans="1:5" ht="18.75" customHeight="1">
      <c r="A29" s="79"/>
      <c r="B29" s="80" t="s">
        <v>10</v>
      </c>
      <c r="C29" s="81"/>
      <c r="D29" s="81"/>
      <c r="E29" s="19"/>
    </row>
    <row r="30" spans="1:5" ht="18.75" customHeight="1">
      <c r="A30" s="84" t="s">
        <v>123</v>
      </c>
      <c r="B30" s="80" t="s">
        <v>98</v>
      </c>
      <c r="C30" s="81"/>
      <c r="D30" s="81"/>
      <c r="E30" s="19"/>
    </row>
    <row r="31" spans="1:5" ht="18.75" customHeight="1">
      <c r="A31" s="79"/>
      <c r="B31" s="80" t="s">
        <v>100</v>
      </c>
      <c r="C31" s="81"/>
      <c r="D31" s="81"/>
      <c r="E31" s="19"/>
    </row>
    <row r="32" spans="1:5" ht="18.75" customHeight="1">
      <c r="A32" s="79"/>
      <c r="B32" s="80" t="s">
        <v>105</v>
      </c>
      <c r="C32" s="81"/>
      <c r="D32" s="81"/>
      <c r="E32" s="19"/>
    </row>
    <row r="33" spans="1:5" ht="18.75" customHeight="1">
      <c r="A33" s="79"/>
      <c r="B33" s="80" t="s">
        <v>107</v>
      </c>
      <c r="C33" s="81"/>
      <c r="D33" s="81"/>
      <c r="E33" s="19"/>
    </row>
    <row r="34" spans="1:5" ht="18.75" customHeight="1">
      <c r="A34" s="79"/>
      <c r="B34" s="80" t="s">
        <v>61</v>
      </c>
      <c r="C34" s="81"/>
      <c r="D34" s="81"/>
      <c r="E34" s="19"/>
    </row>
    <row r="35" spans="1:5" ht="18.75" customHeight="1">
      <c r="A35" s="79"/>
      <c r="B35" s="80" t="s">
        <v>117</v>
      </c>
      <c r="C35" s="83"/>
      <c r="D35" s="81"/>
      <c r="E35" s="19"/>
    </row>
    <row r="36" spans="1:5" ht="18.75" customHeight="1">
      <c r="A36" s="79"/>
      <c r="B36" s="80" t="s">
        <v>57</v>
      </c>
      <c r="C36" s="81"/>
      <c r="D36" s="81"/>
      <c r="E36" s="19"/>
    </row>
    <row r="37" spans="1:5" ht="18.75" customHeight="1">
      <c r="A37" s="83"/>
      <c r="B37" s="80" t="s">
        <v>43</v>
      </c>
      <c r="C37" s="81">
        <v>0.029</v>
      </c>
      <c r="D37" s="81"/>
      <c r="E37" s="19"/>
    </row>
    <row r="38" spans="1:5" ht="18.75" customHeight="1">
      <c r="A38" s="83"/>
      <c r="B38" s="80" t="s">
        <v>25</v>
      </c>
      <c r="C38" s="81">
        <v>0.051</v>
      </c>
      <c r="D38" s="81"/>
      <c r="E38" s="19"/>
    </row>
    <row r="39" spans="1:5" ht="18.75" customHeight="1">
      <c r="A39" s="83"/>
      <c r="B39" s="80" t="s">
        <v>47</v>
      </c>
      <c r="C39" s="81"/>
      <c r="D39" s="81"/>
      <c r="E39" s="19"/>
    </row>
    <row r="40" spans="1:5" ht="18.75" customHeight="1">
      <c r="A40" s="83"/>
      <c r="B40" s="80" t="s">
        <v>103</v>
      </c>
      <c r="C40" s="81"/>
      <c r="D40" s="81"/>
      <c r="E40" s="19"/>
    </row>
    <row r="41" spans="1:5" ht="18.75" customHeight="1">
      <c r="A41" s="83"/>
      <c r="B41" s="80"/>
      <c r="C41" s="81"/>
      <c r="D41" s="81"/>
      <c r="E41" s="19"/>
    </row>
    <row r="42" spans="1:5" ht="18.75" customHeight="1">
      <c r="A42" s="83"/>
      <c r="B42" s="80" t="s">
        <v>152</v>
      </c>
      <c r="C42" s="81">
        <v>0.0087</v>
      </c>
      <c r="D42" s="81"/>
      <c r="E42" s="19"/>
    </row>
    <row r="43" spans="1:5" ht="18.75" customHeight="1">
      <c r="A43" s="83"/>
      <c r="B43" s="80" t="s">
        <v>5</v>
      </c>
      <c r="C43" s="81"/>
      <c r="D43" s="81"/>
      <c r="E43" s="19"/>
    </row>
    <row r="44" spans="1:5" ht="18.75" customHeight="1">
      <c r="A44" s="83"/>
      <c r="B44" s="80" t="s">
        <v>130</v>
      </c>
      <c r="C44" s="81"/>
      <c r="D44" s="81"/>
      <c r="E44" s="19"/>
    </row>
    <row r="45" spans="1:5" ht="18.75" customHeight="1">
      <c r="A45" s="83"/>
      <c r="B45" s="80" t="s">
        <v>6</v>
      </c>
      <c r="C45" s="81"/>
      <c r="D45" s="81"/>
      <c r="E45" s="85"/>
    </row>
    <row r="46" spans="1:6" ht="18.75" customHeight="1">
      <c r="A46" s="140" t="s">
        <v>21</v>
      </c>
      <c r="B46" s="140"/>
      <c r="C46" s="140"/>
      <c r="D46" s="140"/>
      <c r="E46" s="86" t="s">
        <v>36</v>
      </c>
      <c r="F46" s="19"/>
    </row>
    <row r="47" spans="1:6" ht="18.75" customHeight="1">
      <c r="A47" s="22"/>
      <c r="B47" s="87"/>
      <c r="C47" s="22"/>
      <c r="D47" s="88"/>
      <c r="E47" s="22"/>
      <c r="F47" s="19"/>
    </row>
    <row r="48" spans="1:6" ht="18.75" customHeight="1">
      <c r="A48" s="22"/>
      <c r="B48" s="22"/>
      <c r="C48" s="22"/>
      <c r="D48" s="22"/>
      <c r="E48" s="22"/>
      <c r="F48" s="19"/>
    </row>
    <row r="49" spans="1:6" ht="18.75" customHeight="1">
      <c r="A49" s="22"/>
      <c r="B49" s="22"/>
      <c r="C49" s="22"/>
      <c r="D49" s="22"/>
      <c r="E49" s="22"/>
      <c r="F49" s="19"/>
    </row>
    <row r="50" spans="1:6" ht="18.75" customHeight="1">
      <c r="A50" s="22"/>
      <c r="B50" s="22"/>
      <c r="C50" s="22"/>
      <c r="D50" s="22"/>
      <c r="E50" s="22"/>
      <c r="F50" s="19"/>
    </row>
  </sheetData>
  <sheetProtection/>
  <mergeCells count="7">
    <mergeCell ref="A46:D46"/>
    <mergeCell ref="A1:B1"/>
    <mergeCell ref="A2:B2"/>
    <mergeCell ref="A3:B3"/>
    <mergeCell ref="A4:B4"/>
    <mergeCell ref="A5:B5"/>
    <mergeCell ref="A6:B6"/>
  </mergeCells>
  <printOptions/>
  <pageMargins left="0.787401575" right="0.787401575" top="0.984251969" bottom="0.984251969" header="0.5" footer="0.5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O8" sqref="O8:O9"/>
    </sheetView>
  </sheetViews>
  <sheetFormatPr defaultColWidth="11.421875" defaultRowHeight="12.75" customHeight="1"/>
  <cols>
    <col min="1" max="1" width="29.7109375" style="0" customWidth="1"/>
    <col min="2" max="13" width="9.7109375" style="0" customWidth="1"/>
    <col min="14" max="26" width="11.421875" style="0" customWidth="1"/>
  </cols>
  <sheetData>
    <row r="1" spans="1:26" ht="12.75" customHeight="1">
      <c r="A1" s="41"/>
      <c r="B1" s="89" t="s">
        <v>88</v>
      </c>
      <c r="C1" s="89" t="s">
        <v>62</v>
      </c>
      <c r="D1" s="89" t="s">
        <v>116</v>
      </c>
      <c r="E1" s="89" t="s">
        <v>72</v>
      </c>
      <c r="F1" s="89" t="s">
        <v>94</v>
      </c>
      <c r="G1" s="89" t="s">
        <v>64</v>
      </c>
      <c r="H1" s="89" t="s">
        <v>63</v>
      </c>
      <c r="I1" s="89" t="s">
        <v>53</v>
      </c>
      <c r="J1" s="89" t="s">
        <v>16</v>
      </c>
      <c r="K1" s="89" t="s">
        <v>23</v>
      </c>
      <c r="L1" s="89" t="s">
        <v>135</v>
      </c>
      <c r="M1" s="89" t="s">
        <v>38</v>
      </c>
      <c r="N1" s="19"/>
      <c r="S1" s="3">
        <v>0</v>
      </c>
      <c r="Z1" s="3">
        <v>1</v>
      </c>
    </row>
    <row r="2" spans="1:14" ht="12.75" customHeight="1">
      <c r="A2" s="41" t="s">
        <v>46</v>
      </c>
      <c r="B2" s="90">
        <v>0</v>
      </c>
      <c r="C2" s="90">
        <v>0</v>
      </c>
      <c r="D2" s="90">
        <v>0</v>
      </c>
      <c r="E2" s="90">
        <v>0</v>
      </c>
      <c r="F2" s="90">
        <v>75.5</v>
      </c>
      <c r="G2" s="90">
        <v>151</v>
      </c>
      <c r="H2" s="90">
        <v>151</v>
      </c>
      <c r="I2" s="90">
        <v>151</v>
      </c>
      <c r="J2" s="90">
        <v>151</v>
      </c>
      <c r="K2" s="90">
        <v>151</v>
      </c>
      <c r="L2" s="90">
        <v>151</v>
      </c>
      <c r="M2" s="90">
        <v>151</v>
      </c>
      <c r="N2" s="19"/>
    </row>
    <row r="3" spans="1:14" ht="12.75" customHeight="1">
      <c r="A3" s="41" t="s">
        <v>126</v>
      </c>
      <c r="B3" s="90">
        <v>10</v>
      </c>
      <c r="C3" s="90">
        <v>10</v>
      </c>
      <c r="D3" s="90">
        <v>10</v>
      </c>
      <c r="E3" s="90">
        <v>10</v>
      </c>
      <c r="F3" s="90">
        <v>10</v>
      </c>
      <c r="G3" s="90">
        <v>10</v>
      </c>
      <c r="H3" s="90">
        <v>10</v>
      </c>
      <c r="I3" s="90">
        <v>10</v>
      </c>
      <c r="J3" s="90">
        <v>10</v>
      </c>
      <c r="K3" s="90">
        <v>10</v>
      </c>
      <c r="L3" s="90">
        <v>10</v>
      </c>
      <c r="M3" s="90">
        <v>10</v>
      </c>
      <c r="N3" s="19"/>
    </row>
    <row r="4" spans="1:14" ht="12.75" customHeight="1">
      <c r="A4" s="41" t="s">
        <v>138</v>
      </c>
      <c r="B4" s="90">
        <v>0</v>
      </c>
      <c r="C4" s="90">
        <v>0</v>
      </c>
      <c r="D4" s="90">
        <v>0</v>
      </c>
      <c r="E4" s="90">
        <v>0</v>
      </c>
      <c r="F4" s="90">
        <v>850</v>
      </c>
      <c r="G4" s="90">
        <v>1700</v>
      </c>
      <c r="H4" s="90">
        <v>1700</v>
      </c>
      <c r="I4" s="90">
        <v>1700</v>
      </c>
      <c r="J4" s="90">
        <v>1700</v>
      </c>
      <c r="K4" s="90">
        <v>1700</v>
      </c>
      <c r="L4" s="90">
        <v>1700</v>
      </c>
      <c r="M4" s="90">
        <v>1700</v>
      </c>
      <c r="N4" s="19"/>
    </row>
    <row r="5" spans="1:13" ht="12.75" customHeight="1">
      <c r="A5" s="23"/>
      <c r="B5" s="23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3" ht="12.75" customHeight="1">
      <c r="A6" s="41" t="s">
        <v>123</v>
      </c>
      <c r="B6" s="41"/>
      <c r="C6" s="19"/>
    </row>
    <row r="7" spans="1:3" ht="12.75" customHeight="1">
      <c r="A7" s="41" t="s">
        <v>143</v>
      </c>
      <c r="B7" s="41"/>
      <c r="C7" s="19"/>
    </row>
    <row r="8" spans="1:13" ht="12.75" customHeight="1">
      <c r="A8" s="23"/>
      <c r="B8" s="2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4" ht="12.75" customHeight="1">
      <c r="A9" s="41" t="s">
        <v>69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19"/>
    </row>
    <row r="10" spans="1:14" ht="12.75" customHeight="1">
      <c r="A10" s="41" t="s">
        <v>74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19"/>
    </row>
    <row r="11" spans="1:14" ht="12.75" customHeight="1">
      <c r="A11" s="41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19"/>
    </row>
    <row r="12" spans="1:14" ht="12.75" customHeight="1">
      <c r="A12" s="41" t="s">
        <v>86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9"/>
    </row>
    <row r="13" spans="1:14" ht="12.75" customHeight="1">
      <c r="A13" s="41" t="s">
        <v>80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19"/>
    </row>
    <row r="14" spans="1:14" ht="12.75" customHeight="1">
      <c r="A14" s="41" t="s">
        <v>92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9"/>
    </row>
    <row r="15" spans="1:14" ht="12.75" customHeight="1">
      <c r="A15" s="41" t="s">
        <v>42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9"/>
    </row>
    <row r="16" spans="1:13" ht="12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9" ht="12.75" customHeight="1">
      <c r="A19" s="66"/>
    </row>
    <row r="21" ht="12.75" customHeight="1">
      <c r="A21" s="92"/>
    </row>
    <row r="22" ht="12.75" customHeight="1">
      <c r="A22" s="66"/>
    </row>
    <row r="23" ht="12.75" customHeight="1">
      <c r="A23" s="66"/>
    </row>
    <row r="24" ht="12.75" customHeight="1">
      <c r="A24" s="66"/>
    </row>
    <row r="25" ht="12.75" customHeight="1">
      <c r="A25" s="66"/>
    </row>
    <row r="26" ht="12.75" customHeight="1">
      <c r="A26" s="93"/>
    </row>
    <row r="31" ht="12.75" customHeight="1">
      <c r="B31" s="101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E1"/>
    </sheetView>
  </sheetViews>
  <sheetFormatPr defaultColWidth="11.421875" defaultRowHeight="12.75" customHeight="1"/>
  <cols>
    <col min="1" max="1" width="22.140625" style="0" customWidth="1"/>
    <col min="2" max="2" width="18.28125" style="0" customWidth="1"/>
    <col min="3" max="3" width="25.421875" style="0" customWidth="1"/>
    <col min="4" max="6" width="11.421875" style="0" customWidth="1"/>
  </cols>
  <sheetData>
    <row r="1" spans="1:4" ht="13.5" customHeight="1">
      <c r="A1" s="158" t="s">
        <v>11</v>
      </c>
      <c r="B1" s="159"/>
      <c r="C1" s="160"/>
      <c r="D1" s="19"/>
    </row>
    <row r="2" spans="1:4" ht="12.75" customHeight="1">
      <c r="A2" s="94" t="s">
        <v>54</v>
      </c>
      <c r="B2" s="161" t="s">
        <v>155</v>
      </c>
      <c r="C2" s="162"/>
      <c r="D2" s="19"/>
    </row>
    <row r="3" spans="1:4" ht="12.75" customHeight="1">
      <c r="A3" s="95" t="s">
        <v>95</v>
      </c>
      <c r="B3" s="146" t="s">
        <v>156</v>
      </c>
      <c r="C3" s="147"/>
      <c r="D3" s="19"/>
    </row>
    <row r="4" spans="1:4" ht="12.75" customHeight="1">
      <c r="A4" s="95" t="s">
        <v>93</v>
      </c>
      <c r="B4" s="146" t="s">
        <v>146</v>
      </c>
      <c r="C4" s="147"/>
      <c r="D4" s="19"/>
    </row>
    <row r="5" spans="1:4" ht="12.75" customHeight="1">
      <c r="A5" s="95" t="s">
        <v>106</v>
      </c>
      <c r="B5" s="150">
        <v>75000</v>
      </c>
      <c r="C5" s="151"/>
      <c r="D5" s="19"/>
    </row>
    <row r="6" spans="1:4" ht="12.75" customHeight="1">
      <c r="A6" s="95" t="s">
        <v>58</v>
      </c>
      <c r="B6" s="146" t="s">
        <v>157</v>
      </c>
      <c r="C6" s="147"/>
      <c r="D6" s="19"/>
    </row>
    <row r="7" spans="1:4" ht="12.75" customHeight="1">
      <c r="A7" s="95" t="s">
        <v>41</v>
      </c>
      <c r="B7" s="163">
        <v>101010101</v>
      </c>
      <c r="C7" s="164"/>
      <c r="D7" s="19"/>
    </row>
    <row r="8" spans="1:4" ht="12.75" customHeight="1">
      <c r="A8" s="95" t="s">
        <v>133</v>
      </c>
      <c r="B8" s="163">
        <v>101010101</v>
      </c>
      <c r="C8" s="164"/>
      <c r="D8" s="19"/>
    </row>
    <row r="9" spans="1:4" ht="12.75" customHeight="1">
      <c r="A9" s="95"/>
      <c r="B9" s="146"/>
      <c r="C9" s="147"/>
      <c r="D9" s="19"/>
    </row>
    <row r="10" spans="1:4" ht="12.75" customHeight="1">
      <c r="A10" s="95" t="s">
        <v>40</v>
      </c>
      <c r="B10" s="165">
        <v>111100110001000</v>
      </c>
      <c r="C10" s="166"/>
      <c r="D10" s="19"/>
    </row>
    <row r="11" spans="1:4" ht="12.75" customHeight="1">
      <c r="A11" s="95" t="s">
        <v>131</v>
      </c>
      <c r="B11" s="144" t="s">
        <v>153</v>
      </c>
      <c r="C11" s="145"/>
      <c r="D11" s="19"/>
    </row>
    <row r="12" spans="1:4" ht="12.75" customHeight="1">
      <c r="A12" s="95" t="s">
        <v>28</v>
      </c>
      <c r="B12" s="167">
        <v>75000000000000000</v>
      </c>
      <c r="C12" s="168"/>
      <c r="D12" s="19"/>
    </row>
    <row r="13" spans="1:4" ht="13.5" customHeight="1">
      <c r="A13" s="98" t="s">
        <v>60</v>
      </c>
      <c r="B13" s="154" t="s">
        <v>158</v>
      </c>
      <c r="C13" s="155"/>
      <c r="D13" s="19"/>
    </row>
    <row r="14" spans="1:4" ht="47.25" customHeight="1">
      <c r="A14" s="99" t="s">
        <v>14</v>
      </c>
      <c r="B14" s="156" t="s">
        <v>154</v>
      </c>
      <c r="C14" s="157"/>
      <c r="D14" s="19"/>
    </row>
    <row r="15" spans="1:3" ht="13.5" customHeight="1">
      <c r="A15" s="100"/>
      <c r="B15" s="23"/>
      <c r="C15" s="23"/>
    </row>
    <row r="16" spans="1:4" ht="13.5" customHeight="1">
      <c r="A16" s="158" t="s">
        <v>49</v>
      </c>
      <c r="B16" s="159"/>
      <c r="C16" s="160"/>
      <c r="D16" s="19"/>
    </row>
    <row r="17" spans="1:4" ht="12.75" customHeight="1">
      <c r="A17" s="94" t="s">
        <v>145</v>
      </c>
      <c r="B17" s="161"/>
      <c r="C17" s="162"/>
      <c r="D17" s="19"/>
    </row>
    <row r="18" spans="1:4" ht="12.75" customHeight="1">
      <c r="A18" s="95"/>
      <c r="B18" s="146"/>
      <c r="C18" s="147"/>
      <c r="D18" s="19"/>
    </row>
    <row r="19" spans="1:4" ht="12.75" customHeight="1">
      <c r="A19" s="95"/>
      <c r="B19" s="146" t="s">
        <v>112</v>
      </c>
      <c r="C19" s="147"/>
      <c r="D19" s="19"/>
    </row>
    <row r="20" spans="1:4" ht="12.75" customHeight="1">
      <c r="A20" s="95"/>
      <c r="B20" s="146" t="s">
        <v>147</v>
      </c>
      <c r="C20" s="147"/>
      <c r="D20" s="19"/>
    </row>
    <row r="21" spans="1:4" ht="12.75" customHeight="1">
      <c r="A21" s="95"/>
      <c r="B21" s="150">
        <v>1</v>
      </c>
      <c r="C21" s="151"/>
      <c r="D21" s="19"/>
    </row>
    <row r="22" spans="1:4" ht="12.75" customHeight="1">
      <c r="A22" s="95"/>
      <c r="B22" s="146"/>
      <c r="C22" s="147"/>
      <c r="D22" s="19"/>
    </row>
    <row r="23" spans="1:4" ht="12.75" customHeight="1">
      <c r="A23" s="95"/>
      <c r="B23" s="152"/>
      <c r="C23" s="153"/>
      <c r="D23" s="19"/>
    </row>
    <row r="24" spans="1:4" ht="12.75" customHeight="1">
      <c r="A24" s="95"/>
      <c r="B24" s="146"/>
      <c r="C24" s="147"/>
      <c r="D24" s="19"/>
    </row>
    <row r="25" spans="1:4" ht="12.75" customHeight="1">
      <c r="A25" s="95"/>
      <c r="B25" s="144" t="s">
        <v>77</v>
      </c>
      <c r="C25" s="145"/>
      <c r="D25" s="19"/>
    </row>
    <row r="26" spans="1:4" ht="12.75" customHeight="1">
      <c r="A26" s="95"/>
      <c r="B26" s="144" t="s">
        <v>77</v>
      </c>
      <c r="C26" s="145"/>
      <c r="D26" s="19"/>
    </row>
    <row r="27" spans="1:4" ht="12.75" customHeight="1">
      <c r="A27" s="95"/>
      <c r="B27" s="144" t="s">
        <v>91</v>
      </c>
      <c r="C27" s="145"/>
      <c r="D27" s="19"/>
    </row>
    <row r="28" spans="1:4" ht="12.75" customHeight="1">
      <c r="A28" s="95" t="s">
        <v>9</v>
      </c>
      <c r="B28" s="146" t="s">
        <v>129</v>
      </c>
      <c r="C28" s="147"/>
      <c r="D28" s="19"/>
    </row>
    <row r="29" spans="1:4" ht="12.75" customHeight="1">
      <c r="A29" s="95" t="s">
        <v>24</v>
      </c>
      <c r="B29" s="96" t="s">
        <v>123</v>
      </c>
      <c r="C29" s="97" t="s">
        <v>140</v>
      </c>
      <c r="D29" s="19"/>
    </row>
    <row r="30" spans="1:4" ht="12.75" customHeight="1">
      <c r="A30" s="95"/>
      <c r="B30" s="96"/>
      <c r="C30" s="97"/>
      <c r="D30" s="19"/>
    </row>
    <row r="31" spans="1:4" ht="13.5" customHeight="1">
      <c r="A31" s="98" t="s">
        <v>79</v>
      </c>
      <c r="B31" s="148">
        <v>40299</v>
      </c>
      <c r="C31" s="149"/>
      <c r="D31" s="19"/>
    </row>
  </sheetData>
  <sheetProtection/>
  <mergeCells count="28"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6:C16"/>
    <mergeCell ref="B17:C17"/>
    <mergeCell ref="B18:C18"/>
    <mergeCell ref="B19:C19"/>
    <mergeCell ref="B26:C26"/>
    <mergeCell ref="B27:C27"/>
    <mergeCell ref="B28:C28"/>
    <mergeCell ref="B31:C31"/>
    <mergeCell ref="B20:C20"/>
    <mergeCell ref="B21:C21"/>
    <mergeCell ref="B22:C22"/>
    <mergeCell ref="B23:C23"/>
    <mergeCell ref="B24:C24"/>
    <mergeCell ref="B25:C25"/>
  </mergeCells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PageLayoutView="0" workbookViewId="0" topLeftCell="A1">
      <selection activeCell="O27" sqref="O27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3.8515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28" t="s">
        <v>149</v>
      </c>
      <c r="B1" s="128"/>
      <c r="C1" s="128"/>
      <c r="D1" s="128"/>
      <c r="E1" s="128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1</v>
      </c>
    </row>
    <row r="2" spans="1:13" ht="15" customHeight="1">
      <c r="A2" s="131" t="s">
        <v>95</v>
      </c>
      <c r="B2" s="131"/>
      <c r="C2" s="131"/>
      <c r="D2" s="131"/>
      <c r="E2" s="131"/>
      <c r="F2" s="5" t="s">
        <v>37</v>
      </c>
      <c r="G2" s="6">
        <v>40179</v>
      </c>
      <c r="H2" s="7" t="s">
        <v>141</v>
      </c>
      <c r="I2" s="6">
        <v>40209</v>
      </c>
      <c r="M2" s="2" t="str">
        <f>'Composantes du salaire'!A11</f>
        <v>Heures supplémentaire majorées :</v>
      </c>
    </row>
    <row r="3" spans="1:13" ht="15" customHeight="1">
      <c r="A3" s="131" t="s">
        <v>93</v>
      </c>
      <c r="B3" s="131"/>
      <c r="C3" s="131"/>
      <c r="D3" s="131"/>
      <c r="E3" s="131"/>
      <c r="M3" s="2" t="str">
        <f>'Composantes du salaire'!A12</f>
        <v>Heures supplémentaires :</v>
      </c>
    </row>
    <row r="4" spans="1:13" ht="18" customHeight="1">
      <c r="A4" s="131" t="s">
        <v>82</v>
      </c>
      <c r="B4" s="131"/>
      <c r="C4" s="4" t="s">
        <v>58</v>
      </c>
      <c r="D4" s="4"/>
      <c r="E4" s="4"/>
      <c r="F4" s="125" t="s">
        <v>145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24" t="s">
        <v>50</v>
      </c>
      <c r="B5" s="124"/>
      <c r="C5" s="9" t="s">
        <v>65</v>
      </c>
      <c r="D5" s="8"/>
      <c r="E5" s="10"/>
      <c r="F5" s="125" t="s">
        <v>15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24" t="s">
        <v>99</v>
      </c>
      <c r="B6" s="124"/>
      <c r="C6" s="9" t="s">
        <v>65</v>
      </c>
      <c r="D6" s="8"/>
      <c r="E6" s="10"/>
      <c r="F6" s="125" t="s">
        <v>95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24" t="s">
        <v>120</v>
      </c>
      <c r="B7" s="124"/>
      <c r="C7" s="11"/>
      <c r="D7" s="8" t="s">
        <v>73</v>
      </c>
      <c r="E7" s="10"/>
      <c r="F7" s="125" t="s">
        <v>93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24" t="s">
        <v>17</v>
      </c>
      <c r="B8" s="124"/>
      <c r="C8" s="12" t="s">
        <v>51</v>
      </c>
      <c r="D8" s="8" t="s">
        <v>66</v>
      </c>
      <c r="E8" s="8">
        <v>0</v>
      </c>
      <c r="F8" s="125" t="s">
        <v>87</v>
      </c>
      <c r="G8" s="125"/>
      <c r="H8" s="125"/>
      <c r="I8" s="125"/>
      <c r="J8" s="125"/>
      <c r="M8" s="2" t="e">
        <f>'Composantes du salaire'!#REF!</f>
        <v>#REF!</v>
      </c>
    </row>
    <row r="9" spans="1:14" ht="26.25" customHeight="1">
      <c r="A9" s="126" t="s">
        <v>31</v>
      </c>
      <c r="B9" s="126"/>
      <c r="C9" s="127" t="s">
        <v>14</v>
      </c>
      <c r="D9" s="127"/>
      <c r="E9" s="127"/>
      <c r="F9" s="125" t="s">
        <v>58</v>
      </c>
      <c r="G9" s="125"/>
      <c r="H9" s="125"/>
      <c r="I9" s="125"/>
      <c r="J9" s="125"/>
      <c r="M9" s="1">
        <f>'Composantes du salaire'!A17</f>
        <v>0</v>
      </c>
      <c r="N9" s="114" t="s">
        <v>228</v>
      </c>
    </row>
    <row r="10" spans="13:14" ht="12.75" customHeight="1">
      <c r="M10" s="1">
        <f>'Composantes du salaire'!A18</f>
        <v>0</v>
      </c>
      <c r="N10" s="114"/>
    </row>
    <row r="11" spans="1:14" ht="12.75" customHeight="1">
      <c r="A11" s="119" t="s">
        <v>127</v>
      </c>
      <c r="B11" s="119"/>
      <c r="C11" s="14" t="s">
        <v>127</v>
      </c>
      <c r="F11" s="13" t="s">
        <v>1</v>
      </c>
      <c r="H11" s="122" t="s">
        <v>1</v>
      </c>
      <c r="I11" s="122"/>
      <c r="J11" s="122"/>
      <c r="M11" s="2">
        <f>'Composantes du salaire'!A19</f>
        <v>0</v>
      </c>
      <c r="N11" s="113" t="s">
        <v>229</v>
      </c>
    </row>
    <row r="12" spans="1:10" ht="12.75" customHeight="1">
      <c r="A12" s="121" t="s">
        <v>55</v>
      </c>
      <c r="B12" s="121"/>
      <c r="C12" s="15" t="s">
        <v>90</v>
      </c>
      <c r="F12" s="13" t="s">
        <v>125</v>
      </c>
      <c r="H12" s="122" t="s">
        <v>125</v>
      </c>
      <c r="I12" s="122"/>
      <c r="J12" s="122"/>
    </row>
    <row r="13" spans="1:10" ht="12.75" customHeight="1">
      <c r="A13" s="119" t="s">
        <v>9</v>
      </c>
      <c r="B13" s="119"/>
      <c r="C13" s="14" t="s">
        <v>9</v>
      </c>
      <c r="F13" s="13" t="s">
        <v>81</v>
      </c>
      <c r="H13" s="122" t="s">
        <v>136</v>
      </c>
      <c r="I13" s="122"/>
      <c r="J13" s="122"/>
    </row>
    <row r="14" spans="1:9" ht="12.75" customHeight="1">
      <c r="A14" s="119" t="s">
        <v>48</v>
      </c>
      <c r="B14" s="119"/>
      <c r="C14" s="16" t="s">
        <v>48</v>
      </c>
      <c r="F14" s="17"/>
      <c r="G14" s="17"/>
      <c r="H14" s="17"/>
      <c r="I14" s="17"/>
    </row>
    <row r="15" spans="1:10" ht="11.25" customHeight="1">
      <c r="A15" s="119"/>
      <c r="B15" s="119"/>
      <c r="E15" s="18"/>
      <c r="F15" s="123" t="s">
        <v>75</v>
      </c>
      <c r="G15" s="123"/>
      <c r="H15" s="123" t="s">
        <v>132</v>
      </c>
      <c r="I15" s="123"/>
      <c r="J15" s="19"/>
    </row>
    <row r="16" spans="5:10" ht="16.5" customHeight="1"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24</v>
      </c>
      <c r="B17" s="119"/>
      <c r="C17" s="15" t="s">
        <v>123</v>
      </c>
      <c r="E17" s="18"/>
      <c r="F17" s="20" t="s">
        <v>96</v>
      </c>
      <c r="G17" s="21"/>
      <c r="H17" s="20" t="s">
        <v>96</v>
      </c>
      <c r="I17" s="22"/>
      <c r="J17" s="19"/>
    </row>
    <row r="18" spans="1:10" ht="11.25" customHeight="1">
      <c r="A18" s="119" t="s">
        <v>83</v>
      </c>
      <c r="B18" s="119"/>
      <c r="C18" s="14" t="s">
        <v>83</v>
      </c>
      <c r="E18" s="18"/>
      <c r="F18" s="20" t="s">
        <v>67</v>
      </c>
      <c r="G18" s="22"/>
      <c r="H18" s="20" t="s">
        <v>67</v>
      </c>
      <c r="I18" s="22"/>
      <c r="J18" s="19"/>
    </row>
    <row r="19" spans="2:10" ht="12.75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 t="s">
        <v>109</v>
      </c>
      <c r="D22" s="29"/>
      <c r="E22" s="30"/>
      <c r="F22" s="31"/>
      <c r="G22" s="31">
        <v>2565.28</v>
      </c>
      <c r="H22" s="31"/>
      <c r="I22" s="30"/>
      <c r="J22" s="30"/>
      <c r="K22" s="19"/>
    </row>
    <row r="23" spans="1:11" ht="11.25" customHeight="1">
      <c r="A23" s="18"/>
      <c r="B23" s="28"/>
      <c r="C23" s="29" t="s">
        <v>69</v>
      </c>
      <c r="D23" s="29"/>
      <c r="E23" s="30"/>
      <c r="F23" s="31"/>
      <c r="G23" s="32">
        <v>18.29</v>
      </c>
      <c r="H23" s="32">
        <v>0</v>
      </c>
      <c r="I23" s="30"/>
      <c r="J23" s="30"/>
      <c r="K23" s="19"/>
    </row>
    <row r="24" spans="1:11" ht="11.25" customHeight="1">
      <c r="A24" s="18"/>
      <c r="B24" s="28"/>
      <c r="C24" s="29" t="s">
        <v>52</v>
      </c>
      <c r="D24" s="29"/>
      <c r="E24" s="30"/>
      <c r="F24" s="31"/>
      <c r="G24" s="32">
        <v>0</v>
      </c>
      <c r="H24" s="32">
        <v>0</v>
      </c>
      <c r="I24" s="30"/>
      <c r="J24" s="30"/>
      <c r="K24" s="19"/>
    </row>
    <row r="25" spans="1:11" ht="11.25" customHeight="1">
      <c r="A25" s="18"/>
      <c r="B25" s="28"/>
      <c r="C25" s="29" t="s">
        <v>86</v>
      </c>
      <c r="D25" s="29"/>
      <c r="E25" s="30"/>
      <c r="F25" s="31"/>
      <c r="G25" s="32">
        <v>0</v>
      </c>
      <c r="H25" s="32">
        <v>0</v>
      </c>
      <c r="I25" s="30"/>
      <c r="J25" s="30"/>
      <c r="K25" s="19"/>
    </row>
    <row r="26" spans="1:11" ht="11.25" customHeight="1">
      <c r="A26" s="18"/>
      <c r="B26" s="28"/>
      <c r="C26" s="29" t="s">
        <v>18</v>
      </c>
      <c r="D26" s="29"/>
      <c r="E26" s="30"/>
      <c r="F26" s="31"/>
      <c r="G26" s="30"/>
      <c r="H26" s="30"/>
      <c r="I26" s="30"/>
      <c r="J26" s="30"/>
      <c r="K26" s="19"/>
    </row>
    <row r="27" spans="1:11" ht="11.25" customHeight="1">
      <c r="A27" s="18"/>
      <c r="B27" s="28"/>
      <c r="C27" s="29" t="s">
        <v>26</v>
      </c>
      <c r="D27" s="29"/>
      <c r="E27" s="30"/>
      <c r="F27" s="31"/>
      <c r="G27" s="30"/>
      <c r="H27" s="30"/>
      <c r="I27" s="30"/>
      <c r="J27" s="30"/>
      <c r="K27" s="19"/>
    </row>
    <row r="28" spans="1:11" ht="11.25" customHeight="1">
      <c r="A28" s="18"/>
      <c r="B28" s="28"/>
      <c r="C28" s="29" t="s">
        <v>128</v>
      </c>
      <c r="D28" s="29"/>
      <c r="E28" s="30"/>
      <c r="F28" s="31"/>
      <c r="G28" s="31">
        <v>2583.57</v>
      </c>
      <c r="H28" s="31"/>
      <c r="I28" s="30"/>
      <c r="J28" s="30"/>
      <c r="K28" s="19"/>
    </row>
    <row r="29" spans="1:11" ht="6" customHeight="1">
      <c r="A29" s="18"/>
      <c r="B29" s="28"/>
      <c r="C29" s="29"/>
      <c r="D29" s="29"/>
      <c r="E29" s="30"/>
      <c r="F29" s="31"/>
      <c r="G29" s="30"/>
      <c r="H29" s="31"/>
      <c r="I29" s="30"/>
      <c r="J29" s="30"/>
      <c r="K29" s="19"/>
    </row>
    <row r="30" spans="1:11" ht="11.25" customHeight="1">
      <c r="A30" s="18"/>
      <c r="B30" s="28"/>
      <c r="C30" s="29" t="s">
        <v>34</v>
      </c>
      <c r="D30" s="29"/>
      <c r="E30" s="31">
        <v>2583.57</v>
      </c>
      <c r="F30" s="33">
        <v>0.0085</v>
      </c>
      <c r="G30" s="30"/>
      <c r="H30" s="31">
        <v>21.960345</v>
      </c>
      <c r="I30" s="33">
        <v>0.128</v>
      </c>
      <c r="J30" s="31">
        <v>330.69696</v>
      </c>
      <c r="K30" s="19"/>
    </row>
    <row r="31" spans="1:11" ht="11.25" customHeight="1">
      <c r="A31" s="18"/>
      <c r="B31" s="28"/>
      <c r="C31" s="29" t="s">
        <v>76</v>
      </c>
      <c r="D31" s="29"/>
      <c r="E31" s="31">
        <v>2583.57</v>
      </c>
      <c r="F31" s="33">
        <v>0</v>
      </c>
      <c r="G31" s="30"/>
      <c r="H31" s="31">
        <v>0</v>
      </c>
      <c r="I31" s="33">
        <v>0.011</v>
      </c>
      <c r="J31" s="31">
        <v>28.41927</v>
      </c>
      <c r="K31" s="19"/>
    </row>
    <row r="32" spans="1:11" ht="11.25" customHeight="1">
      <c r="A32" s="18"/>
      <c r="B32" s="28"/>
      <c r="C32" s="29" t="s">
        <v>39</v>
      </c>
      <c r="D32" s="29"/>
      <c r="E32" s="31">
        <v>2432</v>
      </c>
      <c r="F32" s="33">
        <v>0.0655</v>
      </c>
      <c r="G32" s="30"/>
      <c r="H32" s="31">
        <v>159.296</v>
      </c>
      <c r="I32" s="33">
        <v>0.082</v>
      </c>
      <c r="J32" s="31">
        <v>199.424</v>
      </c>
      <c r="K32" s="19"/>
    </row>
    <row r="33" spans="1:11" ht="11.25" customHeight="1">
      <c r="A33" s="18"/>
      <c r="B33" s="28"/>
      <c r="C33" s="29" t="s">
        <v>68</v>
      </c>
      <c r="D33" s="29"/>
      <c r="E33" s="31">
        <v>2583.57</v>
      </c>
      <c r="F33" s="33">
        <v>0</v>
      </c>
      <c r="G33" s="30"/>
      <c r="H33" s="31">
        <v>0</v>
      </c>
      <c r="I33" s="33">
        <v>0.016</v>
      </c>
      <c r="J33" s="31">
        <v>41.33712</v>
      </c>
      <c r="K33" s="19"/>
    </row>
    <row r="34" spans="1:11" ht="11.25" customHeight="1">
      <c r="A34" s="18"/>
      <c r="B34" s="28"/>
      <c r="C34" s="29" t="s">
        <v>102</v>
      </c>
      <c r="D34" s="29"/>
      <c r="E34" s="31">
        <v>2583.57</v>
      </c>
      <c r="F34" s="33">
        <v>0</v>
      </c>
      <c r="G34" s="30"/>
      <c r="H34" s="31">
        <v>0</v>
      </c>
      <c r="I34" s="33">
        <v>0.054</v>
      </c>
      <c r="J34" s="31">
        <v>139.51278</v>
      </c>
      <c r="K34" s="19"/>
    </row>
    <row r="35" spans="1:11" ht="11.25" customHeight="1">
      <c r="A35" s="18"/>
      <c r="B35" s="28"/>
      <c r="C35" s="29" t="s">
        <v>115</v>
      </c>
      <c r="D35" s="29"/>
      <c r="E35" s="31">
        <v>2432</v>
      </c>
      <c r="F35" s="33">
        <v>0</v>
      </c>
      <c r="G35" s="30"/>
      <c r="H35" s="31">
        <v>0</v>
      </c>
      <c r="I35" s="33">
        <v>0.001</v>
      </c>
      <c r="J35" s="31">
        <v>2.432</v>
      </c>
      <c r="K35" s="19"/>
    </row>
    <row r="36" spans="1:11" ht="11.25" customHeight="1">
      <c r="A36" s="18"/>
      <c r="B36" s="28"/>
      <c r="C36" s="29" t="s">
        <v>89</v>
      </c>
      <c r="D36" s="29"/>
      <c r="E36" s="31">
        <v>2583.57</v>
      </c>
      <c r="F36" s="33">
        <v>0</v>
      </c>
      <c r="G36" s="30"/>
      <c r="H36" s="31">
        <v>0</v>
      </c>
      <c r="I36" s="33">
        <v>0.004</v>
      </c>
      <c r="J36" s="31">
        <v>10.33428</v>
      </c>
      <c r="K36" s="19"/>
    </row>
    <row r="37" spans="1:11" ht="11.25" customHeight="1">
      <c r="A37" s="18"/>
      <c r="B37" s="28"/>
      <c r="C37" s="29" t="s">
        <v>33</v>
      </c>
      <c r="D37" s="29"/>
      <c r="E37" s="31">
        <v>2583.57</v>
      </c>
      <c r="F37" s="33">
        <v>0</v>
      </c>
      <c r="G37" s="30"/>
      <c r="H37" s="31">
        <v>0</v>
      </c>
      <c r="I37" s="33">
        <v>0.016</v>
      </c>
      <c r="J37" s="31">
        <v>41.33712</v>
      </c>
      <c r="K37" s="19"/>
    </row>
    <row r="38" spans="1:11" ht="11.25" customHeight="1">
      <c r="A38" s="18"/>
      <c r="B38" s="28"/>
      <c r="C38" s="29" t="s">
        <v>134</v>
      </c>
      <c r="D38" s="29"/>
      <c r="E38" s="31">
        <v>2432</v>
      </c>
      <c r="F38" s="33">
        <v>0.024</v>
      </c>
      <c r="G38" s="30"/>
      <c r="H38" s="31">
        <v>58.368</v>
      </c>
      <c r="I38" s="33">
        <v>0.04</v>
      </c>
      <c r="J38" s="31">
        <v>97.28</v>
      </c>
      <c r="K38" s="19"/>
    </row>
    <row r="39" spans="1:11" ht="11.25" customHeight="1">
      <c r="A39" s="18"/>
      <c r="B39" s="28"/>
      <c r="C39" s="29" t="s">
        <v>29</v>
      </c>
      <c r="D39" s="29"/>
      <c r="E39" s="31">
        <v>151.57</v>
      </c>
      <c r="F39" s="33">
        <v>0.024</v>
      </c>
      <c r="G39" s="30"/>
      <c r="H39" s="31">
        <v>3.63768</v>
      </c>
      <c r="I39" s="33">
        <v>0.04</v>
      </c>
      <c r="J39" s="31">
        <v>6.06280000000001</v>
      </c>
      <c r="K39" s="19"/>
    </row>
    <row r="40" spans="1:11" ht="11.25" customHeight="1">
      <c r="A40" s="18"/>
      <c r="B40" s="28"/>
      <c r="C40" s="29" t="s">
        <v>12</v>
      </c>
      <c r="D40" s="29"/>
      <c r="E40" s="31">
        <v>2583.57</v>
      </c>
      <c r="F40" s="33">
        <v>0</v>
      </c>
      <c r="G40" s="30"/>
      <c r="H40" s="31">
        <v>0</v>
      </c>
      <c r="I40" s="33">
        <v>0.0035</v>
      </c>
      <c r="J40" s="31">
        <v>9.042495</v>
      </c>
      <c r="K40" s="19"/>
    </row>
    <row r="41" spans="1:11" ht="11.25" customHeight="1">
      <c r="A41" s="18"/>
      <c r="B41" s="28"/>
      <c r="C41" s="29" t="s">
        <v>7</v>
      </c>
      <c r="D41" s="29"/>
      <c r="E41" s="31">
        <v>2432</v>
      </c>
      <c r="F41" s="33">
        <v>0.03</v>
      </c>
      <c r="G41" s="30"/>
      <c r="H41" s="31">
        <v>72.96</v>
      </c>
      <c r="I41" s="33">
        <v>0.045</v>
      </c>
      <c r="J41" s="31">
        <v>109.44</v>
      </c>
      <c r="K41" s="19"/>
    </row>
    <row r="42" spans="1:11" ht="11.25" customHeight="1">
      <c r="A42" s="18"/>
      <c r="B42" s="28"/>
      <c r="C42" s="29" t="s">
        <v>4</v>
      </c>
      <c r="D42" s="29"/>
      <c r="E42" s="31">
        <v>151.57</v>
      </c>
      <c r="F42" s="33">
        <v>0.06</v>
      </c>
      <c r="G42" s="30"/>
      <c r="H42" s="31">
        <v>9.09420000000001</v>
      </c>
      <c r="I42" s="33">
        <v>0.09</v>
      </c>
      <c r="J42" s="31">
        <v>13.6413</v>
      </c>
      <c r="K42" s="19"/>
    </row>
    <row r="43" spans="1:11" ht="11.25" customHeight="1">
      <c r="A43" s="18"/>
      <c r="B43" s="28"/>
      <c r="C43" s="29" t="s">
        <v>13</v>
      </c>
      <c r="D43" s="29"/>
      <c r="E43" s="31">
        <v>2432</v>
      </c>
      <c r="F43" s="33">
        <v>0.008</v>
      </c>
      <c r="G43" s="30"/>
      <c r="H43" s="31">
        <v>19.456</v>
      </c>
      <c r="I43" s="33">
        <v>0.012</v>
      </c>
      <c r="J43" s="31">
        <v>29.184</v>
      </c>
      <c r="K43" s="19"/>
    </row>
    <row r="44" spans="1:11" ht="11.25" customHeight="1">
      <c r="A44" s="18"/>
      <c r="B44" s="28"/>
      <c r="C44" s="29" t="s">
        <v>10</v>
      </c>
      <c r="D44" s="29"/>
      <c r="E44" s="31">
        <v>151.57</v>
      </c>
      <c r="F44" s="33">
        <v>0.009</v>
      </c>
      <c r="G44" s="30"/>
      <c r="H44" s="31">
        <v>1.36413</v>
      </c>
      <c r="I44" s="33">
        <v>0.013</v>
      </c>
      <c r="J44" s="31">
        <v>1.97041</v>
      </c>
      <c r="K44" s="19"/>
    </row>
    <row r="45" spans="1:11" ht="11.25" customHeight="1">
      <c r="A45" s="18"/>
      <c r="B45" s="28"/>
      <c r="C45" s="34">
        <v>0</v>
      </c>
      <c r="D45" s="29"/>
      <c r="E45" s="31">
        <v>0</v>
      </c>
      <c r="F45" s="33">
        <v>0</v>
      </c>
      <c r="G45" s="30"/>
      <c r="H45" s="31">
        <v>0</v>
      </c>
      <c r="I45" s="33">
        <v>0</v>
      </c>
      <c r="J45" s="31">
        <v>0</v>
      </c>
      <c r="K45" s="19"/>
    </row>
    <row r="46" spans="1:11" ht="11.25" customHeight="1">
      <c r="A46" s="18"/>
      <c r="B46" s="28"/>
      <c r="C46" s="34">
        <v>0</v>
      </c>
      <c r="D46" s="29"/>
      <c r="E46" s="31">
        <v>0</v>
      </c>
      <c r="F46" s="33">
        <v>0</v>
      </c>
      <c r="G46" s="30"/>
      <c r="H46" s="31">
        <v>0</v>
      </c>
      <c r="I46" s="33">
        <v>0</v>
      </c>
      <c r="J46" s="31">
        <v>0</v>
      </c>
      <c r="K46" s="19"/>
    </row>
    <row r="47" spans="1:11" ht="11.25" customHeight="1">
      <c r="A47" s="18"/>
      <c r="B47" s="28"/>
      <c r="C47" s="34">
        <v>0</v>
      </c>
      <c r="D47" s="29"/>
      <c r="E47" s="31">
        <v>0</v>
      </c>
      <c r="F47" s="33">
        <v>0</v>
      </c>
      <c r="G47" s="30"/>
      <c r="H47" s="31">
        <v>0</v>
      </c>
      <c r="I47" s="33">
        <v>0</v>
      </c>
      <c r="J47" s="31">
        <v>0</v>
      </c>
      <c r="K47" s="19"/>
    </row>
    <row r="48" spans="1:11" ht="11.25" customHeight="1">
      <c r="A48" s="18"/>
      <c r="B48" s="28"/>
      <c r="C48" s="29" t="s">
        <v>43</v>
      </c>
      <c r="D48" s="29"/>
      <c r="E48" s="31">
        <v>2505.98247455</v>
      </c>
      <c r="F48" s="33">
        <v>0.029</v>
      </c>
      <c r="G48" s="30"/>
      <c r="H48" s="31">
        <v>72.67349176195</v>
      </c>
      <c r="I48" s="33">
        <v>0</v>
      </c>
      <c r="J48" s="31">
        <v>0</v>
      </c>
      <c r="K48" s="19"/>
    </row>
    <row r="49" spans="1:11" ht="11.25" customHeight="1">
      <c r="A49" s="18"/>
      <c r="B49" s="28"/>
      <c r="C49" s="29" t="s">
        <v>25</v>
      </c>
      <c r="D49" s="29"/>
      <c r="E49" s="31">
        <v>2505.98247455</v>
      </c>
      <c r="F49" s="33">
        <v>0.051</v>
      </c>
      <c r="G49" s="30"/>
      <c r="H49" s="31">
        <v>127.80510620205</v>
      </c>
      <c r="I49" s="33">
        <v>0</v>
      </c>
      <c r="J49" s="31">
        <v>0</v>
      </c>
      <c r="K49" s="19"/>
    </row>
    <row r="50" spans="1:11" ht="11.25" customHeight="1">
      <c r="A50" s="18"/>
      <c r="B50" s="28"/>
      <c r="C50" s="29" t="s">
        <v>2</v>
      </c>
      <c r="D50" s="29"/>
      <c r="E50" s="31"/>
      <c r="F50" s="33"/>
      <c r="G50" s="30"/>
      <c r="H50" s="31"/>
      <c r="I50" s="33"/>
      <c r="J50" s="31">
        <v>-76.22</v>
      </c>
      <c r="K50" s="19"/>
    </row>
    <row r="51" spans="1:11" ht="11.25" customHeight="1">
      <c r="A51" s="18"/>
      <c r="B51" s="28"/>
      <c r="C51" s="29" t="s">
        <v>47</v>
      </c>
      <c r="D51" s="29"/>
      <c r="E51" s="31">
        <v>2583.57</v>
      </c>
      <c r="F51" s="33">
        <v>0</v>
      </c>
      <c r="G51" s="30"/>
      <c r="H51" s="31">
        <v>0</v>
      </c>
      <c r="I51" s="33">
        <v>0.006</v>
      </c>
      <c r="J51" s="31">
        <v>15.50142</v>
      </c>
      <c r="K51" s="19"/>
    </row>
    <row r="52" spans="1:11" ht="11.25" customHeight="1">
      <c r="A52" s="18"/>
      <c r="B52" s="28"/>
      <c r="C52" s="29" t="s">
        <v>103</v>
      </c>
      <c r="D52" s="29"/>
      <c r="E52" s="31">
        <v>2583.57</v>
      </c>
      <c r="F52" s="33">
        <v>0</v>
      </c>
      <c r="G52" s="30"/>
      <c r="H52" s="31">
        <v>0</v>
      </c>
      <c r="I52" s="33">
        <v>0.0045</v>
      </c>
      <c r="J52" s="31">
        <v>11.626065</v>
      </c>
      <c r="K52" s="19"/>
    </row>
    <row r="53" spans="1:11" ht="11.25" customHeight="1">
      <c r="A53" s="18"/>
      <c r="B53" s="28"/>
      <c r="C53" s="29" t="s">
        <v>118</v>
      </c>
      <c r="D53" s="29"/>
      <c r="E53" s="31">
        <v>2432</v>
      </c>
      <c r="F53" s="33">
        <v>0.0056</v>
      </c>
      <c r="G53" s="30"/>
      <c r="H53" s="31">
        <v>13.6192</v>
      </c>
      <c r="I53" s="33">
        <v>0.0056</v>
      </c>
      <c r="J53" s="31">
        <v>13.6192</v>
      </c>
      <c r="K53" s="19"/>
    </row>
    <row r="54" spans="1:11" ht="11.25" customHeight="1">
      <c r="A54" s="18"/>
      <c r="B54" s="28"/>
      <c r="C54" s="29" t="s">
        <v>5</v>
      </c>
      <c r="D54" s="29"/>
      <c r="E54" s="31">
        <v>151.57</v>
      </c>
      <c r="F54" s="33">
        <v>0.0077</v>
      </c>
      <c r="G54" s="30"/>
      <c r="H54" s="31">
        <v>1.167089</v>
      </c>
      <c r="I54" s="33">
        <v>0.0077</v>
      </c>
      <c r="J54" s="31">
        <v>1.167089</v>
      </c>
      <c r="K54" s="19"/>
    </row>
    <row r="55" spans="1:11" ht="11.25" customHeight="1">
      <c r="A55" s="18"/>
      <c r="B55" s="28"/>
      <c r="C55" s="29" t="s">
        <v>130</v>
      </c>
      <c r="D55" s="29"/>
      <c r="E55" s="31">
        <v>54.306289</v>
      </c>
      <c r="F55" s="33"/>
      <c r="G55" s="30"/>
      <c r="H55" s="31"/>
      <c r="I55" s="33">
        <v>0.08</v>
      </c>
      <c r="J55" s="31">
        <v>4.34450312</v>
      </c>
      <c r="K55" s="19"/>
    </row>
    <row r="56" spans="1:11" ht="11.25" customHeight="1">
      <c r="A56" s="18"/>
      <c r="B56" s="28"/>
      <c r="C56" s="29" t="s">
        <v>6</v>
      </c>
      <c r="D56" s="29"/>
      <c r="E56" s="31">
        <v>2432</v>
      </c>
      <c r="F56" s="33">
        <v>0.01625</v>
      </c>
      <c r="G56" s="30"/>
      <c r="H56" s="31">
        <v>39.52</v>
      </c>
      <c r="I56" s="33">
        <v>0.01625</v>
      </c>
      <c r="J56" s="31">
        <v>39.52</v>
      </c>
      <c r="K56" s="19"/>
    </row>
    <row r="57" spans="1:11" ht="11.25" customHeight="1">
      <c r="A57" s="18"/>
      <c r="B57" s="28"/>
      <c r="C57" s="34">
        <v>0</v>
      </c>
      <c r="D57" s="29"/>
      <c r="E57" s="31">
        <v>0</v>
      </c>
      <c r="F57" s="33">
        <v>0</v>
      </c>
      <c r="G57" s="30"/>
      <c r="H57" s="31">
        <v>0</v>
      </c>
      <c r="I57" s="33">
        <v>0</v>
      </c>
      <c r="J57" s="31">
        <v>0</v>
      </c>
      <c r="K57" s="19"/>
    </row>
    <row r="58" spans="1:11" ht="11.25" customHeight="1">
      <c r="A58" s="18"/>
      <c r="B58" s="28"/>
      <c r="C58" s="34">
        <v>0</v>
      </c>
      <c r="D58" s="29"/>
      <c r="E58" s="31">
        <v>0</v>
      </c>
      <c r="F58" s="33">
        <v>0</v>
      </c>
      <c r="G58" s="30"/>
      <c r="H58" s="31">
        <v>0</v>
      </c>
      <c r="I58" s="33">
        <v>0</v>
      </c>
      <c r="J58" s="31">
        <v>0</v>
      </c>
      <c r="K58" s="19"/>
    </row>
    <row r="59" spans="1:11" ht="11.25" customHeight="1">
      <c r="A59" s="18"/>
      <c r="B59" s="28"/>
      <c r="C59" s="34">
        <v>0</v>
      </c>
      <c r="D59" s="29"/>
      <c r="E59" s="31">
        <v>0</v>
      </c>
      <c r="F59" s="33">
        <v>0</v>
      </c>
      <c r="G59" s="30"/>
      <c r="H59" s="31">
        <v>0</v>
      </c>
      <c r="I59" s="33">
        <v>0</v>
      </c>
      <c r="J59" s="31">
        <v>0</v>
      </c>
      <c r="K59" s="19"/>
    </row>
    <row r="60" spans="1:11" ht="11.25" customHeight="1">
      <c r="A60" s="18"/>
      <c r="B60" s="35"/>
      <c r="C60" s="36">
        <v>0</v>
      </c>
      <c r="D60" s="37"/>
      <c r="E60" s="38">
        <v>0</v>
      </c>
      <c r="F60" s="39">
        <v>0</v>
      </c>
      <c r="G60" s="40"/>
      <c r="H60" s="38">
        <v>0</v>
      </c>
      <c r="I60" s="39">
        <v>0</v>
      </c>
      <c r="J60" s="38">
        <v>0</v>
      </c>
      <c r="K60" s="19"/>
    </row>
    <row r="61" spans="1:11" ht="11.25" customHeight="1">
      <c r="A61" s="18"/>
      <c r="B61" s="41"/>
      <c r="C61" s="42" t="s">
        <v>19</v>
      </c>
      <c r="D61" s="42"/>
      <c r="E61" s="43"/>
      <c r="F61" s="44"/>
      <c r="G61" s="45"/>
      <c r="H61" s="43">
        <v>600.921241964</v>
      </c>
      <c r="I61" s="44"/>
      <c r="J61" s="43">
        <v>1069.67281212</v>
      </c>
      <c r="K61" s="19"/>
    </row>
    <row r="62" spans="1:11" ht="11.25" customHeight="1">
      <c r="A62" s="18"/>
      <c r="B62" s="46"/>
      <c r="C62" s="47" t="s">
        <v>111</v>
      </c>
      <c r="D62" s="48">
        <v>7</v>
      </c>
      <c r="E62" s="49">
        <v>2.5</v>
      </c>
      <c r="F62" s="49"/>
      <c r="G62" s="49"/>
      <c r="H62" s="49">
        <v>17.5</v>
      </c>
      <c r="I62" s="49"/>
      <c r="J62" s="49"/>
      <c r="K62" s="19"/>
    </row>
    <row r="63" spans="1:11" ht="11.25" customHeight="1">
      <c r="A63" s="18"/>
      <c r="B63" s="28"/>
      <c r="C63" s="29"/>
      <c r="D63" s="29"/>
      <c r="E63" s="31"/>
      <c r="F63" s="31"/>
      <c r="G63" s="31"/>
      <c r="H63" s="31"/>
      <c r="I63" s="31"/>
      <c r="J63" s="31"/>
      <c r="K63" s="19"/>
    </row>
    <row r="64" spans="1:11" ht="11.25" customHeight="1">
      <c r="A64" s="18"/>
      <c r="B64" s="35"/>
      <c r="C64" s="37"/>
      <c r="D64" s="37"/>
      <c r="E64" s="38"/>
      <c r="F64" s="38"/>
      <c r="G64" s="38"/>
      <c r="H64" s="38"/>
      <c r="I64" s="38"/>
      <c r="J64" s="38"/>
      <c r="K64" s="19"/>
    </row>
    <row r="65" spans="2:10" ht="12.75" customHeight="1">
      <c r="B65" s="50"/>
      <c r="C65" s="50"/>
      <c r="D65" s="50"/>
      <c r="E65" s="50"/>
      <c r="F65" s="50"/>
      <c r="G65" s="50"/>
      <c r="H65" s="50"/>
      <c r="I65" s="50"/>
      <c r="J65" s="50"/>
    </row>
    <row r="66" spans="2:10" ht="12.75" customHeight="1">
      <c r="B66" s="51"/>
      <c r="C66" s="52" t="s">
        <v>142</v>
      </c>
      <c r="D66" s="53">
        <v>2037.82224979795</v>
      </c>
      <c r="E66" s="52"/>
      <c r="F66" s="52"/>
      <c r="G66" s="52"/>
      <c r="H66" s="52" t="s">
        <v>8</v>
      </c>
      <c r="I66" s="54"/>
      <c r="J66" s="53">
        <v>1965.148758036</v>
      </c>
    </row>
    <row r="67" spans="2:10" ht="12.75" customHeight="1">
      <c r="B67" s="51"/>
      <c r="C67" s="52" t="s">
        <v>59</v>
      </c>
      <c r="D67" s="53">
        <v>2037.82224979795</v>
      </c>
      <c r="E67" s="52"/>
      <c r="F67" s="52"/>
      <c r="G67" s="52"/>
      <c r="H67" s="52" t="s">
        <v>59</v>
      </c>
      <c r="I67" s="54"/>
      <c r="J67" s="53">
        <v>1965.148758036</v>
      </c>
    </row>
  </sheetData>
  <sheetProtection/>
  <mergeCells count="31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F15:G15"/>
    <mergeCell ref="H15:I15"/>
    <mergeCell ref="A8:B8"/>
    <mergeCell ref="F8:J8"/>
    <mergeCell ref="A9:B9"/>
    <mergeCell ref="C9:E9"/>
    <mergeCell ref="F9:J9"/>
    <mergeCell ref="A11:B11"/>
    <mergeCell ref="H11:J11"/>
    <mergeCell ref="A17:B17"/>
    <mergeCell ref="A18:B18"/>
    <mergeCell ref="F20:H20"/>
    <mergeCell ref="I20:J20"/>
    <mergeCell ref="A12:B12"/>
    <mergeCell ref="H12:J12"/>
    <mergeCell ref="A13:B13"/>
    <mergeCell ref="H13:J13"/>
    <mergeCell ref="A14:B14"/>
    <mergeCell ref="A15:B15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46">
      <selection activeCell="C4" sqref="C4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1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40179</v>
      </c>
      <c r="H2" s="7" t="s">
        <v>141</v>
      </c>
      <c r="I2" s="6">
        <f>DATE('Param Taux'!C1,(AA1+1),0)</f>
        <v>40209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ht="7.5" customHeight="1"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5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4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 t="s">
        <v>109</v>
      </c>
      <c r="D22" s="29"/>
      <c r="E22" s="30"/>
      <c r="F22" s="31"/>
      <c r="G22" s="31">
        <f>ROUNDUP(('Composantes du salaire'!B2*'Composantes du salaire'!B3),2)</f>
        <v>0</v>
      </c>
      <c r="H22" s="31"/>
      <c r="I22" s="30"/>
      <c r="J22" s="30"/>
      <c r="K22" s="19"/>
    </row>
    <row r="23" spans="1:11" ht="11.25" customHeight="1">
      <c r="A23" s="18"/>
      <c r="B23" s="28"/>
      <c r="C23" s="34">
        <f>IF((ISBLANK('Composantes du salaire'!B9)=TRUE),,'Composantes du salaire'!A9)</f>
        <v>0</v>
      </c>
      <c r="D23" s="29">
        <f>IF((ISNA(VLOOKUP($C23,'Composantes du salaire'!$A$9:$M$16,2,FALSE))=TRUE),"",VLOOKUP($C23,'Composantes du salaire'!$A$9:$M$16,2,FALSE))</f>
      </c>
      <c r="E23" s="30"/>
      <c r="F23" s="31"/>
      <c r="G23" s="30">
        <f>IF((ISNA(VLOOKUP($C23,'Composantes du salaire'!$A$9:$M$16,2,FALSE))=TRUE),"",IF((OR(($C23="Absences congés payés :"),($C23="Maladie :"))=TRUE),,IF(($C23="Primes, avantages :"),D23,(D23*E23))))</f>
      </c>
      <c r="H23" s="30">
        <f>IF((ISNA(VLOOKUP($C23,'Composantes du salaire'!$A$9:$M$16,2,FALSE))=TRUE),"",IF((OR(($C23="Absences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>
        <f>IF((ISBLANK('Composantes du salaire'!B10)=TRUE),,'Composantes du salaire'!A10)</f>
        <v>0</v>
      </c>
      <c r="D24" s="29">
        <f>IF((ISNA(VLOOKUP($C24,'Composantes du salaire'!$A$9:$M$16,2,FALSE))=TRUE),"",VLOOKUP($C24,'Composantes du salaire'!$A$9:$M$16,2,FALSE))</f>
      </c>
      <c r="E24" s="30"/>
      <c r="F24" s="31"/>
      <c r="G24" s="30">
        <f>IF((ISNA(VLOOKUP($C24,'Composantes du salaire'!$A$9:$M$16,2,FALSE))=TRUE),"",IF((OR(($C24="Absences congés payés :"),($C24="Maladie :"))=TRUE),,IF(($C24="Primes, avantages :"),D24,(D24*E24))))</f>
      </c>
      <c r="H24" s="30">
        <f>IF((ISNA(VLOOKUP($C24,'Composantes du salaire'!$A$9:$M$16,2,FALSE))=TRUE),"",IF((OR(($C24="Absences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salaire'!B11)=TRUE),,'Composantes du salaire'!A11)</f>
        <v>0</v>
      </c>
      <c r="D25" s="29">
        <f>IF((ISNA(VLOOKUP($C25,'Composantes du salaire'!$A$9:$M$16,2,FALSE))=TRUE),"",VLOOKUP($C25,'Composantes du salaire'!$A$9:$M$16,2,FALSE))</f>
      </c>
      <c r="E25" s="30"/>
      <c r="F25" s="31"/>
      <c r="G25" s="30">
        <f>IF((ISNA(VLOOKUP($C25,'Composantes du salaire'!$A$9:$M$16,2,FALSE))=TRUE),"",IF((OR(($C25="Absences congés payés :"),($C25="Maladie :"))=TRUE),,IF(($C25="Primes, avantages :"),D25,(D25*E25))))</f>
      </c>
      <c r="H25" s="30">
        <f>IF((ISNA(VLOOKUP($C25,'Composantes du salaire'!$A$9:$M$16,2,FALSE))=TRUE),"",IF((OR(($C25="Absences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salaire'!B12)=TRUE),,'Composantes du salaire'!A12)</f>
        <v>0</v>
      </c>
      <c r="D26" s="29"/>
      <c r="E26" s="30"/>
      <c r="F26" s="31"/>
      <c r="G26" s="30"/>
      <c r="H26" s="30"/>
      <c r="I26" s="30"/>
      <c r="J26" s="30"/>
      <c r="K26" s="19"/>
    </row>
    <row r="27" spans="1:11" ht="11.25" customHeight="1">
      <c r="A27" s="18"/>
      <c r="B27" s="28"/>
      <c r="C27" s="34">
        <f>IF((ISBLANK('Composantes du salaire'!B13)=TRUE),,'Composantes du salaire'!A13)</f>
        <v>0</v>
      </c>
      <c r="D27" s="29"/>
      <c r="E27" s="30"/>
      <c r="F27" s="31"/>
      <c r="G27" s="30"/>
      <c r="H27" s="30"/>
      <c r="I27" s="30"/>
      <c r="J27" s="30"/>
      <c r="K27" s="19"/>
    </row>
    <row r="28" spans="1:11" ht="11.25" customHeight="1">
      <c r="A28" s="18"/>
      <c r="B28" s="28"/>
      <c r="C28" s="34">
        <f>IF((ISBLANK('Composantes du salaire'!B14)=TRUE),,'Composantes du salaire'!A14)</f>
        <v>0</v>
      </c>
      <c r="D28" s="29">
        <f>IF((ISNA(VLOOKUP($C28,'Composantes du salaire'!$A$9:$M$16,2,FALSE))=TRUE),"",VLOOKUP($C28,'Composantes du salaire'!$A$9:$M$16,2,FALSE))</f>
      </c>
      <c r="E28" s="30"/>
      <c r="F28" s="31"/>
      <c r="G28" s="30">
        <f>IF((ISNA(VLOOKUP($C28,'Composantes du salaire'!$A$9:$M$16,2,FALSE))=TRUE),"",IF((OR(($C28="Absences congés payés :"),($C28="Maladie :"))=TRUE),,IF(($C28="Primes, avantages :"),D28,(D28*E28))))</f>
      </c>
      <c r="H28" s="30">
        <f>IF((ISNA(VLOOKUP($C28,'Composantes du salaire'!$A$9:$M$16,2,FALSE))=TRUE),"",IF((OR(($C28="Absences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salaire'!B15)=TRUE),,'Composantes du salaire'!A15)</f>
        <v>0</v>
      </c>
      <c r="D29" s="29">
        <f>IF((ISNA(VLOOKUP($C29,'Composantes du salaire'!$A$9:$M$16,2,FALSE))=TRUE),"",VLOOKUP($C29,'Composantes du salaire'!$A$9:$M$16,2,FALSE))</f>
      </c>
      <c r="E29" s="30"/>
      <c r="F29" s="31"/>
      <c r="G29" s="30">
        <f>IF((ISNA(VLOOKUP($C29,'Composantes du salaire'!$A$9:$M$16,2,FALSE))=TRUE),"",IF((OR(($C29="Absences congés payés :"),($C29="Maladie :"))=TRUE),,IF(($C29="Primes, avantages :"),D29,(D29*E29))))</f>
      </c>
      <c r="H29" s="30">
        <f>IF((ISNA(VLOOKUP($C29,'Composantes du salaire'!$A$9:$M$16,2,FALSE))=TRUE),"",IF((OR(($C29="Absences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0</v>
      </c>
      <c r="H30" s="31"/>
      <c r="I30" s="30"/>
      <c r="J30" s="30"/>
      <c r="K30" s="19"/>
    </row>
    <row r="31" spans="1:11" ht="11.25" customHeight="1">
      <c r="A31" s="18"/>
      <c r="B31" s="28"/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0</v>
      </c>
      <c r="E32" s="31">
        <f>IF(('Param Taux'!$C$7="Oui"),IF(($G$30&lt;=('Param Taux'!$C$3*'Composantes du salaire'!$B$2)),0,(G30-('Param Taux'!$C$3*'Composantes du salaire'!$B$2))),$G$30)</f>
        <v>0</v>
      </c>
      <c r="F32" s="33">
        <f>'Param Taux'!C12+'Param Taux'!C13</f>
        <v>0.0085</v>
      </c>
      <c r="G32" s="30"/>
      <c r="H32" s="31">
        <f aca="true" t="shared" si="0" ref="H32:H51">E32*F32</f>
        <v>0</v>
      </c>
      <c r="I32" s="33">
        <f>'Param Taux'!D12</f>
        <v>0.128</v>
      </c>
      <c r="J32" s="31">
        <f aca="true" t="shared" si="1" ref="J32:J51">I32*E32</f>
        <v>0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0</v>
      </c>
      <c r="E33" s="31">
        <f>IF(('Param Taux'!$C$7="Oui"),IF(($G$30&lt;=('Param Taux'!$C$3*'Composantes du salaire'!$B$2)),0,(G30-('Param Taux'!$C$3*'Composantes du salaire'!$B$2))),$G$30)</f>
        <v>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0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0</v>
      </c>
      <c r="F34" s="33">
        <f>'Param Taux'!C15</f>
        <v>0.0665</v>
      </c>
      <c r="G34" s="30"/>
      <c r="H34" s="31">
        <f t="shared" si="0"/>
        <v>0</v>
      </c>
      <c r="I34" s="33">
        <f>'Param Taux'!D15</f>
        <v>0.083</v>
      </c>
      <c r="J34" s="31">
        <f t="shared" si="1"/>
        <v>0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0</v>
      </c>
      <c r="E35" s="31">
        <f>IF(('Param Taux'!$C$7="Oui"),IF(($G$30&lt;=('Param Taux'!$C$3*'Composantes du salaire'!$B$2)),0,(G30-('Param Taux'!$C$3*'Composantes du salaire'!$B$2))),$G$30)</f>
        <v>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0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0</v>
      </c>
      <c r="E36" s="31">
        <f>IF(('Param Taux'!$C$7="Oui"),IF(($G$30&lt;=('Param Taux'!$C$3*'Composantes du salaire'!$B$2)),0,(G30-('Param Taux'!$C$3*'Composantes du salaire'!$B$2))),$G$30)</f>
        <v>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0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0</v>
      </c>
      <c r="E37" s="31">
        <f>IF(($G$30&lt;='Param Taux'!C2),$G$30,'Param Taux'!$C$2)</f>
        <v>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0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0</v>
      </c>
      <c r="E38" s="31">
        <f>$G$30</f>
        <v>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0</v>
      </c>
      <c r="F40" s="33">
        <f>'Param Taux'!C22</f>
        <v>0.024</v>
      </c>
      <c r="G40" s="30"/>
      <c r="H40" s="31">
        <f t="shared" si="0"/>
        <v>0</v>
      </c>
      <c r="I40" s="33">
        <f>'Param Taux'!D22</f>
        <v>0.04</v>
      </c>
      <c r="J40" s="31">
        <f t="shared" si="1"/>
        <v>0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0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0</v>
      </c>
      <c r="F50" s="33">
        <f>'Param Taux'!C37</f>
        <v>0.029</v>
      </c>
      <c r="G50" s="30"/>
      <c r="H50" s="31">
        <f t="shared" si="0"/>
        <v>0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0</v>
      </c>
      <c r="F51" s="33">
        <f>'Param Taux'!C38</f>
        <v>0.051</v>
      </c>
      <c r="G51" s="30"/>
      <c r="H51" s="31">
        <f t="shared" si="0"/>
        <v>0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0</v>
      </c>
      <c r="F55" s="33">
        <f>'Param Taux'!C42</f>
        <v>0.0087</v>
      </c>
      <c r="G55" s="30"/>
      <c r="H55" s="31">
        <f>E55*F55</f>
        <v>0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0</v>
      </c>
      <c r="I63" s="44"/>
      <c r="J63" s="43">
        <f>SUM(J32:J62)</f>
        <v>0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>
        <f>D65*E65</f>
        <v>0</v>
      </c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0</v>
      </c>
      <c r="E67" s="52"/>
      <c r="F67" s="52"/>
      <c r="G67" s="52"/>
      <c r="H67" s="52" t="s">
        <v>8</v>
      </c>
      <c r="I67" s="54"/>
      <c r="J67" s="53">
        <f>((G30-H63)-(SUM(H64:H65)))+SUM(G64:G65)</f>
        <v>0</v>
      </c>
    </row>
    <row r="68" spans="2:10" ht="12.75" customHeight="1">
      <c r="B68" s="51"/>
      <c r="C68" s="52" t="s">
        <v>59</v>
      </c>
      <c r="D68" s="53">
        <f>D67</f>
        <v>0</v>
      </c>
      <c r="E68" s="52"/>
      <c r="F68" s="52"/>
      <c r="G68" s="52"/>
      <c r="H68" s="52" t="s">
        <v>59</v>
      </c>
      <c r="I68" s="54"/>
      <c r="J68" s="53">
        <f>J67</f>
        <v>0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3">
      <selection activeCell="G60" sqref="G60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2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40210</v>
      </c>
      <c r="H2" s="7" t="s">
        <v>141</v>
      </c>
      <c r="I2" s="6">
        <f>DATE('Param Taux'!C1,(AA1+1),0)</f>
        <v>40237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ht="7.5" customHeight="1"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 t="s">
        <v>109</v>
      </c>
      <c r="D22" s="29"/>
      <c r="E22" s="30"/>
      <c r="F22" s="31"/>
      <c r="G22" s="31">
        <f>ROUNDUP(('Composantes du salaire'!C2*'Composantes du salaire'!C3),2)</f>
        <v>0</v>
      </c>
      <c r="H22" s="31"/>
      <c r="I22" s="30"/>
      <c r="J22" s="30"/>
      <c r="K22" s="19"/>
    </row>
    <row r="23" spans="1:11" ht="11.25" customHeight="1">
      <c r="A23" s="18"/>
      <c r="B23" s="28"/>
      <c r="C23" s="34">
        <f>IF((ISBLANK('Composantes du salaire'!C9)=TRUE),,'Composantes du salaire'!A9)</f>
        <v>0</v>
      </c>
      <c r="D23" s="29">
        <f>IF((ISNA(VLOOKUP($C23,'Composantes du salaire'!$A$9:$M$16,3,FALSE))=TRUE),"",VLOOKUP($C23,'Composantes du salaire'!$A$9:$M$16,3,FALSE))</f>
      </c>
      <c r="E23" s="30"/>
      <c r="F23" s="31"/>
      <c r="G23" s="30">
        <f>IF((ISNA(VLOOKUP($C23,'Composantes du salaire'!$A$9:$M$16,3,FALSE))=TRUE),"",IF((OR(($C23="Absences congés payés :"),($C23="Maladie :"))=TRUE),,IF(($C23="Primes, avantages :"),D23,(D23*E23))))</f>
      </c>
      <c r="H23" s="30">
        <f>IF((ISNA(VLOOKUP($C23,'Composantes du salaire'!$A$9:$M$16,3,FALSE))=TRUE),"",IF((OR(($C23="Absences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>
        <f>IF((ISBLANK('Composantes du salaire'!C10)=TRUE),,'Composantes du salaire'!A10)</f>
        <v>0</v>
      </c>
      <c r="D24" s="29">
        <f>IF((ISNA(VLOOKUP($C24,'Composantes du salaire'!$A$9:$M$16,3,FALSE))=TRUE),"",VLOOKUP($C24,'Composantes du salaire'!$A$9:$M$16,3,FALSE))</f>
      </c>
      <c r="E24" s="30"/>
      <c r="F24" s="31"/>
      <c r="G24" s="30">
        <f>IF((ISNA(VLOOKUP($C24,'Composantes du salaire'!$A$9:$M$16,3,FALSE))=TRUE),"",IF((OR(($C24="Absences congés payés :"),($C24="Maladie :"))=TRUE),,IF(($C24="Primes, avantages :"),D24,(D24*E24))))</f>
      </c>
      <c r="H24" s="30">
        <f>IF((ISNA(VLOOKUP($C24,'Composantes du salaire'!$A$9:$M$16,3,FALSE))=TRUE),"",IF((OR(($C24="Absences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salaire'!C11)=TRUE),,'Composantes du salaire'!A11)</f>
        <v>0</v>
      </c>
      <c r="D25" s="29">
        <f>IF((ISNA(VLOOKUP($C25,'Composantes du salaire'!$A$9:$M$16,3,FALSE))=TRUE),"",VLOOKUP($C25,'Composantes du salaire'!$A$9:$M$16,3,FALSE))</f>
      </c>
      <c r="E25" s="30"/>
      <c r="F25" s="31"/>
      <c r="G25" s="30">
        <f>IF((ISNA(VLOOKUP($C25,'Composantes du salaire'!$A$9:$M$16,3,FALSE))=TRUE),"",IF((OR(($C25="Absences congés payés :"),($C25="Maladie :"))=TRUE),,IF(($C25="Primes, avantages :"),D25,(D25*E25))))</f>
      </c>
      <c r="H25" s="30">
        <f>IF((ISNA(VLOOKUP($C25,'Composantes du salaire'!$A$9:$M$16,3,FALSE))=TRUE),"",IF((OR(($C25="Absences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salaire'!C12)=TRUE),,'Composantes du salaire'!A12)</f>
        <v>0</v>
      </c>
      <c r="D26" s="29">
        <f>IF((ISNA(VLOOKUP($C26,'Composantes du salaire'!$A$9:$M$16,3,FALSE))=TRUE),"",VLOOKUP($C26,'Composantes du salaire'!$A$9:$M$16,3,FALSE))</f>
      </c>
      <c r="E26" s="30"/>
      <c r="F26" s="31"/>
      <c r="G26" s="30">
        <f>IF((ISNA(VLOOKUP($C26,'Composantes du salaire'!$A$9:$M$16,3,FALSE))=TRUE),"",IF((OR(($C26="Absences congés payés :"),($C26="Maladie :"))=TRUE),,IF(($C26="Primes, avantages :"),D26,(D26*E26))))</f>
      </c>
      <c r="H26" s="30">
        <f>IF((ISNA(VLOOKUP($C26,'Composantes du salaire'!$A$9:$M$16,3,FALSE))=TRUE),"",IF((OR(($C26="Absences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salaire'!C13)=TRUE),,'Composantes du salaire'!A13)</f>
        <v>0</v>
      </c>
      <c r="D27" s="29">
        <f>IF((ISNA(VLOOKUP($C27,'Composantes du salaire'!$A$9:$M$16,3,FALSE))=TRUE),"",VLOOKUP($C27,'Composantes du salaire'!$A$9:$M$16,3,FALSE))</f>
      </c>
      <c r="E27" s="30"/>
      <c r="F27" s="31"/>
      <c r="G27" s="30">
        <f>IF((ISNA(VLOOKUP($C27,'Composantes du salaire'!$A$9:$M$16,3,FALSE))=TRUE),"",IF((OR(($C27="Absences congés payés :"),($C27="Maladie :"))=TRUE),,IF(($C27="Primes, avantages :"),D27,(D27*E27))))</f>
      </c>
      <c r="H27" s="30">
        <f>IF((ISNA(VLOOKUP($C27,'Composantes du salaire'!$A$9:$M$16,3,FALSE))=TRUE),"",IF((OR(($C27="Absences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salaire'!C14)=TRUE),,'Composantes du salaire'!A14)</f>
        <v>0</v>
      </c>
      <c r="D28" s="29">
        <f>IF((ISNA(VLOOKUP($C28,'Composantes du salaire'!$A$9:$M$16,3,FALSE))=TRUE),"",VLOOKUP($C28,'Composantes du salaire'!$A$9:$M$16,3,FALSE))</f>
      </c>
      <c r="E28" s="30"/>
      <c r="F28" s="31"/>
      <c r="G28" s="30">
        <f>IF((ISNA(VLOOKUP($C28,'Composantes du salaire'!$A$9:$M$16,3,FALSE))=TRUE),"",IF((OR(($C28="Absences congés payés :"),($C28="Maladie :"))=TRUE),,IF(($C28="Primes, avantages :"),D28,(D28*E28))))</f>
      </c>
      <c r="H28" s="30">
        <f>IF((ISNA(VLOOKUP($C28,'Composantes du salaire'!$A$9:$M$16,3,FALSE))=TRUE),"",IF((OR(($C28="Absences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salaire'!C15)=TRUE),,'Composantes du salaire'!A15)</f>
        <v>0</v>
      </c>
      <c r="D29" s="29">
        <f>IF((ISNA(VLOOKUP($C29,'Composantes du salaire'!$A$9:$M$16,3,FALSE))=TRUE),"",VLOOKUP($C29,'Composantes du salaire'!$A$9:$M$16,3,FALSE))</f>
      </c>
      <c r="E29" s="30"/>
      <c r="F29" s="31"/>
      <c r="G29" s="30">
        <f>IF((ISNA(VLOOKUP($C29,'Composantes du salaire'!$A$9:$M$16,3,FALSE))=TRUE),"",IF((OR(($C29="Absences congés payés :"),($C29="Maladie :"))=TRUE),,IF(($C29="Primes, avantages :"),D29,(D29*E29))))</f>
      </c>
      <c r="H29" s="30">
        <f>IF((ISNA(VLOOKUP($C29,'Composantes du salaire'!$A$9:$M$16,3,FALSE))=TRUE),"",IF((OR(($C29="Absences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0</v>
      </c>
      <c r="H30" s="31"/>
      <c r="I30" s="30"/>
      <c r="J30" s="30"/>
      <c r="K30" s="19"/>
    </row>
    <row r="31" spans="1:11" ht="11.25" customHeight="1">
      <c r="A31" s="18"/>
      <c r="B31" s="28"/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0</v>
      </c>
      <c r="E32" s="31">
        <f>IF(('Param Taux'!$C$7="Oui"),IF(($G$30&lt;=('Param Taux'!$C$3*'Composantes du salaire'!$B$2)),0,(G30-('Param Taux'!$C$3*'Composantes du salaire'!$B$2))),$G$30)</f>
        <v>0</v>
      </c>
      <c r="F32" s="33">
        <f>'Param Taux'!C12+'Param Taux'!C13</f>
        <v>0.0085</v>
      </c>
      <c r="G32" s="30"/>
      <c r="H32" s="31">
        <f aca="true" t="shared" si="0" ref="H32:H51">E32*F32</f>
        <v>0</v>
      </c>
      <c r="I32" s="33">
        <f>'Param Taux'!D12</f>
        <v>0.128</v>
      </c>
      <c r="J32" s="31">
        <f aca="true" t="shared" si="1" ref="J32:J51">I32*E32</f>
        <v>0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0</v>
      </c>
      <c r="E33" s="31">
        <f>IF(('Param Taux'!$C$7="Oui"),IF(($G$30&lt;=('Param Taux'!$C$3*'Composantes du salaire'!$B$2)),0,(G30-('Param Taux'!$C$3*'Composantes du salaire'!$B$2))),$G$30)</f>
        <v>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0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0</v>
      </c>
      <c r="F34" s="33">
        <f>'Param Taux'!C15</f>
        <v>0.0665</v>
      </c>
      <c r="G34" s="30"/>
      <c r="H34" s="31">
        <f t="shared" si="0"/>
        <v>0</v>
      </c>
      <c r="I34" s="33">
        <f>'Param Taux'!D15</f>
        <v>0.083</v>
      </c>
      <c r="J34" s="31">
        <f t="shared" si="1"/>
        <v>0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0</v>
      </c>
      <c r="E35" s="31">
        <f>IF(('Param Taux'!$C$7="Oui"),IF(($G$30&lt;=('Param Taux'!$C$3*'Composantes du salaire'!$B$2)),0,(G30-('Param Taux'!$C$3*'Composantes du salaire'!$B$2))),$G$30)</f>
        <v>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0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0</v>
      </c>
      <c r="E36" s="31">
        <f>IF(('Param Taux'!$C$7="Oui"),IF(($G$30&lt;=('Param Taux'!$C$3*'Composantes du salaire'!$B$2)),0,(G30-('Param Taux'!$C$3*'Composantes du salaire'!$B$2))),$G$30)</f>
        <v>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0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0</v>
      </c>
      <c r="E37" s="31">
        <f>IF(($G$30&lt;='Param Taux'!C2),$G$30,'Param Taux'!$C$2)</f>
        <v>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0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0</v>
      </c>
      <c r="E38" s="31">
        <f>$G$30</f>
        <v>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0</v>
      </c>
      <c r="F40" s="33">
        <f>'Param Taux'!C22</f>
        <v>0.024</v>
      </c>
      <c r="G40" s="30"/>
      <c r="H40" s="31">
        <f t="shared" si="0"/>
        <v>0</v>
      </c>
      <c r="I40" s="33">
        <f>'Param Taux'!D22</f>
        <v>0.04</v>
      </c>
      <c r="J40" s="31">
        <f t="shared" si="1"/>
        <v>0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0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0</v>
      </c>
      <c r="F50" s="33">
        <f>'Param Taux'!C37</f>
        <v>0.029</v>
      </c>
      <c r="G50" s="30"/>
      <c r="H50" s="31">
        <f t="shared" si="0"/>
        <v>0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0</v>
      </c>
      <c r="F51" s="33">
        <f>'Param Taux'!C38</f>
        <v>0.051</v>
      </c>
      <c r="G51" s="30"/>
      <c r="H51" s="31">
        <f t="shared" si="0"/>
        <v>0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0</v>
      </c>
      <c r="F55" s="33">
        <f>'Param Taux'!C42</f>
        <v>0.0087</v>
      </c>
      <c r="G55" s="30"/>
      <c r="H55" s="31">
        <f>E55*F55</f>
        <v>0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0</v>
      </c>
      <c r="I63" s="44"/>
      <c r="J63" s="43">
        <f>SUM(J32:J62)</f>
        <v>0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0</v>
      </c>
      <c r="E67" s="52"/>
      <c r="F67" s="52"/>
      <c r="G67" s="52"/>
      <c r="H67" s="52" t="s">
        <v>8</v>
      </c>
      <c r="I67" s="54"/>
      <c r="J67" s="53">
        <f>((G30-H63)-(SUM(H64:H65)))+SUM(G64:G65)</f>
        <v>0</v>
      </c>
    </row>
    <row r="68" spans="2:10" ht="12.75" customHeight="1">
      <c r="B68" s="51"/>
      <c r="C68" s="52" t="s">
        <v>59</v>
      </c>
      <c r="D68" s="53">
        <f>D67+Janv!D68</f>
        <v>0</v>
      </c>
      <c r="E68" s="52"/>
      <c r="F68" s="52"/>
      <c r="G68" s="52"/>
      <c r="H68" s="52" t="s">
        <v>59</v>
      </c>
      <c r="I68" s="54"/>
      <c r="J68" s="53">
        <f>J67+Janv!J68</f>
        <v>0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3">
      <selection activeCell="A1" sqref="A1:E1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3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40238</v>
      </c>
      <c r="H2" s="7" t="s">
        <v>141</v>
      </c>
      <c r="I2" s="6">
        <f>DATE('Param Taux'!C1,(AA1+1),0)</f>
        <v>40268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ht="7.5" customHeight="1"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 t="s">
        <v>109</v>
      </c>
      <c r="D22" s="29"/>
      <c r="E22" s="30"/>
      <c r="F22" s="31"/>
      <c r="G22" s="31">
        <f>ROUNDUP(('Composantes du salaire'!D2*'Composantes du salaire'!D3),2)</f>
        <v>0</v>
      </c>
      <c r="H22" s="31"/>
      <c r="I22" s="30"/>
      <c r="J22" s="30"/>
      <c r="K22" s="19"/>
    </row>
    <row r="23" spans="1:11" ht="11.25" customHeight="1">
      <c r="A23" s="18"/>
      <c r="B23" s="28"/>
      <c r="C23" s="34">
        <f>IF((ISBLANK('Composantes du salaire'!D9)=TRUE),,'Composantes du salaire'!A9)</f>
        <v>0</v>
      </c>
      <c r="D23" s="29">
        <f>IF((ISNA(VLOOKUP($C23,'Composantes du salaire'!$A$9:$M$16,4,FALSE))=TRUE),"",VLOOKUP($C23,'Composantes du salaire'!$A$9:$M$16,4,FALSE))</f>
      </c>
      <c r="E23" s="30"/>
      <c r="F23" s="31"/>
      <c r="G23" s="30">
        <f>IF((ISNA(VLOOKUP($C23,'Composantes du salaire'!$A$9:$M$16,4,FALSE))=TRUE),"",IF((OR(($C23="Absences congés payés :"),($C23="Maladie :"))=TRUE),,IF(($C23="Primes, avantages :"),D23,(D23*E23))))</f>
      </c>
      <c r="H23" s="30">
        <f>IF((ISNA(VLOOKUP($C23,'Composantes du salaire'!$A$9:$M$16,4,FALSE))=TRUE),"",IF((OR(($C23="Absences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>
        <f>IF((ISBLANK('Composantes du salaire'!D10)=TRUE),,'Composantes du salaire'!A10)</f>
        <v>0</v>
      </c>
      <c r="D24" s="29">
        <f>IF((ISNA(VLOOKUP($C24,'Composantes du salaire'!$A$9:$M$16,4,FALSE))=TRUE),"",VLOOKUP($C24,'Composantes du salaire'!$A$9:$M$16,4,FALSE))</f>
      </c>
      <c r="E24" s="30"/>
      <c r="F24" s="31"/>
      <c r="G24" s="30">
        <f>IF((ISNA(VLOOKUP($C24,'Composantes du salaire'!$A$9:$M$16,4,FALSE))=TRUE),"",IF((OR(($C24="Absences congés payés :"),($C24="Maladie :"))=TRUE),,IF(($C24="Primes, avantages :"),D24,(D24*E24))))</f>
      </c>
      <c r="H24" s="30">
        <f>IF((ISNA(VLOOKUP($C24,'Composantes du salaire'!$A$9:$M$16,4,FALSE))=TRUE),"",IF((OR(($C24="Absences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salaire'!D11)=TRUE),,'Composantes du salaire'!A11)</f>
        <v>0</v>
      </c>
      <c r="D25" s="29">
        <f>IF((ISNA(VLOOKUP($C25,'Composantes du salaire'!$A$9:$M$16,4,FALSE))=TRUE),"",VLOOKUP($C25,'Composantes du salaire'!$A$9:$M$16,4,FALSE))</f>
      </c>
      <c r="E25" s="30"/>
      <c r="F25" s="31"/>
      <c r="G25" s="30">
        <f>IF((ISNA(VLOOKUP($C25,'Composantes du salaire'!$A$9:$M$16,4,FALSE))=TRUE),"",IF((OR(($C25="Absences congés payés :"),($C25="Maladie :"))=TRUE),,IF(($C25="Primes, avantages :"),D25,(D25*E25))))</f>
      </c>
      <c r="H25" s="30">
        <f>IF((ISNA(VLOOKUP($C25,'Composantes du salaire'!$A$9:$M$16,4,FALSE))=TRUE),"",IF((OR(($C25="Absences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salaire'!D12)=TRUE),,'Composantes du salaire'!A12)</f>
        <v>0</v>
      </c>
      <c r="D26" s="29">
        <f>IF((ISNA(VLOOKUP($C26,'Composantes du salaire'!$A$9:$M$16,4,FALSE))=TRUE),"",VLOOKUP($C26,'Composantes du salaire'!$A$9:$M$16,4,FALSE))</f>
      </c>
      <c r="E26" s="30"/>
      <c r="F26" s="31"/>
      <c r="G26" s="30">
        <f>IF((ISNA(VLOOKUP($C26,'Composantes du salaire'!$A$9:$M$16,4,FALSE))=TRUE),"",IF((OR(($C26="Absences congés payés :"),($C26="Maladie :"))=TRUE),,IF(($C26="Primes, avantages :"),D26,(D26*E26))))</f>
      </c>
      <c r="H26" s="30">
        <f>IF((ISNA(VLOOKUP($C26,'Composantes du salaire'!$A$9:$M$16,4,FALSE))=TRUE),"",IF((OR(($C26="Absences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salaire'!D13)=TRUE),,'Composantes du salaire'!A13)</f>
        <v>0</v>
      </c>
      <c r="D27" s="29">
        <f>IF((ISNA(VLOOKUP($C27,'Composantes du salaire'!$A$9:$M$16,4,FALSE))=TRUE),"",VLOOKUP($C27,'Composantes du salaire'!$A$9:$M$16,4,FALSE))</f>
      </c>
      <c r="E27" s="30"/>
      <c r="F27" s="31"/>
      <c r="G27" s="30">
        <f>IF((ISNA(VLOOKUP($C27,'Composantes du salaire'!$A$9:$M$16,4,FALSE))=TRUE),"",IF((OR(($C27="Absences congés payés :"),($C27="Maladie :"))=TRUE),,IF(($C27="Primes, avantages :"),D27,(D27*E27))))</f>
      </c>
      <c r="H27" s="30">
        <f>IF((ISNA(VLOOKUP($C27,'Composantes du salaire'!$A$9:$M$16,4,FALSE))=TRUE),"",IF((OR(($C27="Absences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salaire'!D14)=TRUE),,'Composantes du salaire'!A14)</f>
        <v>0</v>
      </c>
      <c r="D28" s="29">
        <f>IF((ISNA(VLOOKUP($C28,'Composantes du salaire'!$A$9:$M$16,4,FALSE))=TRUE),"",VLOOKUP($C28,'Composantes du salaire'!$A$9:$M$16,4,FALSE))</f>
      </c>
      <c r="E28" s="30"/>
      <c r="F28" s="31"/>
      <c r="G28" s="30">
        <f>IF((ISNA(VLOOKUP($C28,'Composantes du salaire'!$A$9:$M$16,4,FALSE))=TRUE),"",IF((OR(($C28="Absences congés payés :"),($C28="Maladie :"))=TRUE),,IF(($C28="Primes, avantages :"),D28,(D28*E28))))</f>
      </c>
      <c r="H28" s="30">
        <f>IF((ISNA(VLOOKUP($C28,'Composantes du salaire'!$A$9:$M$16,4,FALSE))=TRUE),"",IF((OR(($C28="Absences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salaire'!D15)=TRUE),,'Composantes du salaire'!A15)</f>
        <v>0</v>
      </c>
      <c r="D29" s="29">
        <f>IF((ISNA(VLOOKUP($C29,'Composantes du salaire'!$A$9:$M$16,4,FALSE))=TRUE),"",VLOOKUP($C29,'Composantes du salaire'!$A$9:$M$16,4,FALSE))</f>
      </c>
      <c r="E29" s="30"/>
      <c r="F29" s="31"/>
      <c r="G29" s="30">
        <f>IF((ISNA(VLOOKUP($C29,'Composantes du salaire'!$A$9:$M$16,4,FALSE))=TRUE),"",IF((OR(($C29="Absences congés payés :"),($C29="Maladie :"))=TRUE),,IF(($C29="Primes, avantages :"),D29,(D29*E29))))</f>
      </c>
      <c r="H29" s="30">
        <f>IF((ISNA(VLOOKUP($C29,'Composantes du salaire'!$A$9:$M$16,4,FALSE))=TRUE),"",IF((OR(($C29="Absences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0</v>
      </c>
      <c r="H30" s="31"/>
      <c r="I30" s="30"/>
      <c r="J30" s="30"/>
      <c r="K30" s="19"/>
    </row>
    <row r="31" spans="1:11" ht="11.25" customHeight="1">
      <c r="A31" s="18"/>
      <c r="B31" s="28"/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0</v>
      </c>
      <c r="E32" s="31">
        <f>IF(('Param Taux'!$C$7="Oui"),IF(($G$30&lt;=('Param Taux'!$C$3*'Composantes du salaire'!$B$2)),0,(G30-('Param Taux'!$C$3*'Composantes du salaire'!$B$2))),$G$30)</f>
        <v>0</v>
      </c>
      <c r="F32" s="33">
        <f>'Param Taux'!C12+'Param Taux'!C13</f>
        <v>0.0085</v>
      </c>
      <c r="G32" s="30"/>
      <c r="H32" s="31">
        <f aca="true" t="shared" si="0" ref="H32:H51">E32*F32</f>
        <v>0</v>
      </c>
      <c r="I32" s="33">
        <f>'Param Taux'!D12</f>
        <v>0.128</v>
      </c>
      <c r="J32" s="31">
        <f aca="true" t="shared" si="1" ref="J32:J51">I32*E32</f>
        <v>0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0</v>
      </c>
      <c r="E33" s="31">
        <f>IF(('Param Taux'!$C$7="Oui"),IF(($G$30&lt;=('Param Taux'!$C$3*'Composantes du salaire'!$B$2)),0,(G30-('Param Taux'!$C$3*'Composantes du salaire'!$B$2))),$G$30)</f>
        <v>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0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0</v>
      </c>
      <c r="F34" s="33">
        <f>'Param Taux'!C15</f>
        <v>0.0665</v>
      </c>
      <c r="G34" s="30"/>
      <c r="H34" s="31">
        <f t="shared" si="0"/>
        <v>0</v>
      </c>
      <c r="I34" s="33">
        <f>'Param Taux'!D15</f>
        <v>0.083</v>
      </c>
      <c r="J34" s="31">
        <f t="shared" si="1"/>
        <v>0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0</v>
      </c>
      <c r="E35" s="31">
        <f>IF(('Param Taux'!$C$7="Oui"),IF(($G$30&lt;=('Param Taux'!$C$3*'Composantes du salaire'!$B$2)),0,(G30-('Param Taux'!$C$3*'Composantes du salaire'!$B$2))),$G$30)</f>
        <v>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0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0</v>
      </c>
      <c r="E36" s="31">
        <f>IF(('Param Taux'!$C$7="Oui"),IF(($G$30&lt;=('Param Taux'!$C$3*'Composantes du salaire'!$B$2)),0,(G30-('Param Taux'!$C$3*'Composantes du salaire'!$B$2))),$G$30)</f>
        <v>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0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0</v>
      </c>
      <c r="E37" s="31">
        <f>IF(($G$30&lt;='Param Taux'!C2),$G$30,'Param Taux'!$C$2)</f>
        <v>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0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0</v>
      </c>
      <c r="E38" s="31">
        <f>$G$30</f>
        <v>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0</v>
      </c>
      <c r="F40" s="33">
        <f>'Param Taux'!C22</f>
        <v>0.024</v>
      </c>
      <c r="G40" s="30"/>
      <c r="H40" s="31">
        <f t="shared" si="0"/>
        <v>0</v>
      </c>
      <c r="I40" s="33">
        <f>'Param Taux'!D22</f>
        <v>0.04</v>
      </c>
      <c r="J40" s="31">
        <f t="shared" si="1"/>
        <v>0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0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0</v>
      </c>
      <c r="F50" s="33">
        <f>'Param Taux'!C37</f>
        <v>0.029</v>
      </c>
      <c r="G50" s="30"/>
      <c r="H50" s="31">
        <f t="shared" si="0"/>
        <v>0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0</v>
      </c>
      <c r="F51" s="33">
        <f>'Param Taux'!C38</f>
        <v>0.051</v>
      </c>
      <c r="G51" s="30"/>
      <c r="H51" s="31">
        <f t="shared" si="0"/>
        <v>0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0</v>
      </c>
      <c r="F55" s="33">
        <f>'Param Taux'!C42</f>
        <v>0.0087</v>
      </c>
      <c r="G55" s="30"/>
      <c r="H55" s="31">
        <f>E55*F55</f>
        <v>0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0</v>
      </c>
      <c r="I63" s="44"/>
      <c r="J63" s="43">
        <f>SUM(J32:J62)</f>
        <v>0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0</v>
      </c>
      <c r="E67" s="52"/>
      <c r="F67" s="52"/>
      <c r="G67" s="52"/>
      <c r="H67" s="52" t="s">
        <v>8</v>
      </c>
      <c r="I67" s="54"/>
      <c r="J67" s="53">
        <f>((G30-H63)-(SUM(H64:H65)))+SUM(G64:G65)</f>
        <v>0</v>
      </c>
    </row>
    <row r="68" spans="2:10" ht="12.75" customHeight="1">
      <c r="B68" s="51"/>
      <c r="C68" s="52" t="s">
        <v>59</v>
      </c>
      <c r="D68" s="53">
        <f>D67+Févr!D68</f>
        <v>0</v>
      </c>
      <c r="E68" s="52"/>
      <c r="F68" s="52"/>
      <c r="G68" s="52"/>
      <c r="H68" s="52" t="s">
        <v>59</v>
      </c>
      <c r="I68" s="54"/>
      <c r="J68" s="53">
        <f>J67+Févr!J68</f>
        <v>0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A1" sqref="A1:E1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4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40269</v>
      </c>
      <c r="H2" s="7" t="s">
        <v>141</v>
      </c>
      <c r="I2" s="6">
        <f>DATE('Param Taux'!C1,(AA1+1),0)</f>
        <v>40298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spans="2:13" ht="7.5" customHeight="1">
      <c r="B10">
        <v>111100110001000</v>
      </c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/>
      <c r="D22" s="29"/>
      <c r="E22" s="30"/>
      <c r="F22" s="31"/>
      <c r="G22" s="31">
        <f>ROUNDUP(('Composantes du salaire'!E2*'Composantes du salaire'!E3),2)</f>
        <v>0</v>
      </c>
      <c r="H22" s="31"/>
      <c r="I22" s="30"/>
      <c r="J22" s="30"/>
      <c r="K22" s="19"/>
    </row>
    <row r="23" spans="1:11" ht="11.25" customHeight="1">
      <c r="A23" s="18"/>
      <c r="B23" s="28"/>
      <c r="C23" s="34"/>
      <c r="D23" s="29">
        <f>IF((ISNA(VLOOKUP($C23,'Composantes du salaire'!$A$9:$M$16,5,FALSE))=TRUE),"",VLOOKUP($C23,'Composantes du salaire'!$A$9:$M$16,5,FALSE))</f>
      </c>
      <c r="E23" s="30"/>
      <c r="F23" s="31"/>
      <c r="G23" s="30">
        <f>IF((ISNA(VLOOKUP($C23,'Composantes du salaire'!$A$9:$M$16,5,FALSE))=TRUE),"",IF((OR(($C23="Absences congés payés :"),($C23="Maladie :"))=TRUE),,IF(($C23="Primes, avantages :"),D23,(D23*E23))))</f>
      </c>
      <c r="H23" s="30">
        <f>IF((ISNA(VLOOKUP($C23,'Composantes du salaire'!$A$9:$M$16,5,FALSE))=TRUE),"",IF((OR(($C23="Absences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/>
      <c r="D24" s="29">
        <f>IF((ISNA(VLOOKUP($C24,'Composantes du salaire'!$A$9:$M$16,5,FALSE))=TRUE),"",VLOOKUP($C24,'Composantes du salaire'!$A$9:$M$16,5,FALSE))</f>
      </c>
      <c r="E24" s="30"/>
      <c r="F24" s="31"/>
      <c r="G24" s="30">
        <f>IF((ISNA(VLOOKUP($C24,'Composantes du salaire'!$A$9:$M$16,5,FALSE))=TRUE),"",IF((OR(($C24="Absences congés payés :"),($C24="Maladie :"))=TRUE),,IF(($C24="Primes, avantages :"),D24,(D24*E24))))</f>
      </c>
      <c r="H24" s="30">
        <f>IF((ISNA(VLOOKUP($C24,'Composantes du salaire'!$A$9:$M$16,5,FALSE))=TRUE),"",IF((OR(($C24="Absences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salaire'!E11)=TRUE),,'Composantes du salaire'!A11)</f>
        <v>0</v>
      </c>
      <c r="D25" s="29">
        <f>IF((ISNA(VLOOKUP($C25,'Composantes du salaire'!$A$9:$M$16,5,FALSE))=TRUE),"",VLOOKUP($C25,'Composantes du salaire'!$A$9:$M$16,5,FALSE))</f>
      </c>
      <c r="E25" s="30"/>
      <c r="F25" s="31"/>
      <c r="G25" s="30">
        <f>IF((ISNA(VLOOKUP($C25,'Composantes du salaire'!$A$9:$M$16,5,FALSE))=TRUE),"",IF((OR(($C25="Absences congés payés :"),($C25="Maladie :"))=TRUE),,IF(($C25="Primes, avantages :"),D25,(D25*E25))))</f>
      </c>
      <c r="H25" s="30">
        <f>IF((ISNA(VLOOKUP($C25,'Composantes du salaire'!$A$9:$M$16,5,FALSE))=TRUE),"",IF((OR(($C25="Absences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salaire'!E12)=TRUE),,'Composantes du salaire'!A12)</f>
        <v>0</v>
      </c>
      <c r="D26" s="29">
        <f>IF((ISNA(VLOOKUP($C26,'Composantes du salaire'!$A$9:$M$16,5,FALSE))=TRUE),"",VLOOKUP($C26,'Composantes du salaire'!$A$9:$M$16,5,FALSE))</f>
      </c>
      <c r="E26" s="30"/>
      <c r="F26" s="31"/>
      <c r="G26" s="30">
        <f>IF((ISNA(VLOOKUP($C26,'Composantes du salaire'!$A$9:$M$16,5,FALSE))=TRUE),"",IF((OR(($C26="Absences congés payés :"),($C26="Maladie :"))=TRUE),,IF(($C26="Primes, avantages :"),D26,(D26*E26))))</f>
      </c>
      <c r="H26" s="30">
        <f>IF((ISNA(VLOOKUP($C26,'Composantes du salaire'!$A$9:$M$16,5,FALSE))=TRUE),"",IF((OR(($C26="Absences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salaire'!E13)=TRUE),,'Composantes du salaire'!A13)</f>
        <v>0</v>
      </c>
      <c r="D27" s="29">
        <f>IF((ISNA(VLOOKUP($C27,'Composantes du salaire'!$A$9:$M$16,5,FALSE))=TRUE),"",VLOOKUP($C27,'Composantes du salaire'!$A$9:$M$16,5,FALSE))</f>
      </c>
      <c r="E27" s="30"/>
      <c r="F27" s="31"/>
      <c r="G27" s="30">
        <f>IF((ISNA(VLOOKUP($C27,'Composantes du salaire'!$A$9:$M$16,5,FALSE))=TRUE),"",IF((OR(($C27="Absences congés payés :"),($C27="Maladie :"))=TRUE),,IF(($C27="Primes, avantages :"),D27,(D27*E27))))</f>
      </c>
      <c r="H27" s="30">
        <f>IF((ISNA(VLOOKUP($C27,'Composantes du salaire'!$A$9:$M$16,5,FALSE))=TRUE),"",IF((OR(($C27="Absences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salaire'!E14)=TRUE),,'Composantes du salaire'!A14)</f>
        <v>0</v>
      </c>
      <c r="D28" s="29">
        <f>IF((ISNA(VLOOKUP($C28,'Composantes du salaire'!$A$9:$M$16,5,FALSE))=TRUE),"",VLOOKUP($C28,'Composantes du salaire'!$A$9:$M$16,5,FALSE))</f>
      </c>
      <c r="E28" s="30"/>
      <c r="F28" s="31"/>
      <c r="G28" s="30">
        <f>IF((ISNA(VLOOKUP($C28,'Composantes du salaire'!$A$9:$M$16,5,FALSE))=TRUE),"",IF((OR(($C28="Absences congés payés :"),($C28="Maladie :"))=TRUE),,IF(($C28="Primes, avantages :"),D28,(D28*E28))))</f>
      </c>
      <c r="H28" s="30">
        <f>IF((ISNA(VLOOKUP($C28,'Composantes du salaire'!$A$9:$M$16,5,FALSE))=TRUE),"",IF((OR(($C28="Absences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salaire'!E15)=TRUE),,'Composantes du salaire'!A15)</f>
        <v>0</v>
      </c>
      <c r="D29" s="29">
        <f>IF((ISNA(VLOOKUP($C29,'Composantes du salaire'!$A$9:$M$16,5,FALSE))=TRUE),"",VLOOKUP($C29,'Composantes du salaire'!$A$9:$M$16,5,FALSE))</f>
      </c>
      <c r="E29" s="30"/>
      <c r="F29" s="31"/>
      <c r="G29" s="30">
        <f>IF((ISNA(VLOOKUP($C29,'Composantes du salaire'!$A$9:$M$16,5,FALSE))=TRUE),"",IF((OR(($C29="Absences congés payés :"),($C29="Maladie :"))=TRUE),,IF(($C29="Primes, avantages :"),D29,(D29*E29))))</f>
      </c>
      <c r="H29" s="30">
        <f>IF((ISNA(VLOOKUP($C29,'Composantes du salaire'!$A$9:$M$16,5,FALSE))=TRUE),"",IF((OR(($C29="Absences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0</v>
      </c>
      <c r="H30" s="31"/>
      <c r="I30" s="30"/>
      <c r="J30" s="30"/>
      <c r="K30" s="19"/>
    </row>
    <row r="31" spans="1:11" ht="11.25" customHeight="1">
      <c r="A31" s="18"/>
      <c r="B31" s="102">
        <v>40299</v>
      </c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0</v>
      </c>
      <c r="E32" s="31">
        <f>IF(('Param Taux'!$C$7="Oui"),IF(($G$30&lt;=('Param Taux'!$C$3*'Composantes du salaire'!$B$2)),0,(G30-('Param Taux'!$C$3*'Composantes du salaire'!$B$2))),$G$30)</f>
        <v>0</v>
      </c>
      <c r="F32" s="33">
        <f>'Param Taux'!C12+'Param Taux'!C13</f>
        <v>0.0085</v>
      </c>
      <c r="G32" s="30"/>
      <c r="H32" s="31">
        <f aca="true" t="shared" si="0" ref="H32:H51">E32*F32</f>
        <v>0</v>
      </c>
      <c r="I32" s="33">
        <f>'Param Taux'!D12</f>
        <v>0.128</v>
      </c>
      <c r="J32" s="31">
        <f aca="true" t="shared" si="1" ref="J32:J51">I32*E32</f>
        <v>0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0</v>
      </c>
      <c r="E33" s="31">
        <f>IF(('Param Taux'!$C$7="Oui"),IF(($G$30&lt;=('Param Taux'!$C$3*'Composantes du salaire'!$B$2)),0,(G30-('Param Taux'!$C$3*'Composantes du salaire'!$B$2))),$G$30)</f>
        <v>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0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0</v>
      </c>
      <c r="F34" s="33">
        <f>'Param Taux'!C15</f>
        <v>0.0665</v>
      </c>
      <c r="G34" s="30"/>
      <c r="H34" s="31">
        <f t="shared" si="0"/>
        <v>0</v>
      </c>
      <c r="I34" s="33">
        <f>'Param Taux'!D15</f>
        <v>0.083</v>
      </c>
      <c r="J34" s="31">
        <f t="shared" si="1"/>
        <v>0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0</v>
      </c>
      <c r="E35" s="31">
        <f>IF(('Param Taux'!$C$7="Oui"),IF(($G$30&lt;=('Param Taux'!$C$3*'Composantes du salaire'!$B$2)),0,(G30-('Param Taux'!$C$3*'Composantes du salaire'!$B$2))),$G$30)</f>
        <v>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0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0</v>
      </c>
      <c r="E36" s="31">
        <f>IF(('Param Taux'!$C$7="Oui"),IF(($G$30&lt;=('Param Taux'!$C$3*'Composantes du salaire'!$B$2)),0,(G30-('Param Taux'!$C$3*'Composantes du salaire'!$B$2))),$G$30)</f>
        <v>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0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0</v>
      </c>
      <c r="E37" s="31">
        <f>IF(($G$30&lt;='Param Taux'!C2),$G$30,'Param Taux'!$C$2)</f>
        <v>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0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0</v>
      </c>
      <c r="E38" s="31">
        <f>$G$30</f>
        <v>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0</v>
      </c>
      <c r="F40" s="33">
        <f>'Param Taux'!C22</f>
        <v>0.024</v>
      </c>
      <c r="G40" s="30"/>
      <c r="H40" s="31">
        <f t="shared" si="0"/>
        <v>0</v>
      </c>
      <c r="I40" s="33">
        <f>'Param Taux'!D22</f>
        <v>0.04</v>
      </c>
      <c r="J40" s="31">
        <f t="shared" si="1"/>
        <v>0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0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0</v>
      </c>
      <c r="F50" s="33">
        <f>'Param Taux'!C37</f>
        <v>0.029</v>
      </c>
      <c r="G50" s="30"/>
      <c r="H50" s="31">
        <f t="shared" si="0"/>
        <v>0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0</v>
      </c>
      <c r="F51" s="33">
        <f>'Param Taux'!C38</f>
        <v>0.051</v>
      </c>
      <c r="G51" s="30"/>
      <c r="H51" s="31">
        <f t="shared" si="0"/>
        <v>0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0</v>
      </c>
      <c r="F55" s="33">
        <f>'Param Taux'!C42</f>
        <v>0.0087</v>
      </c>
      <c r="G55" s="30"/>
      <c r="H55" s="31">
        <f>E55*F55</f>
        <v>0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0</v>
      </c>
      <c r="I63" s="44"/>
      <c r="J63" s="43">
        <f>SUM(J32:J62)</f>
        <v>0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0</v>
      </c>
      <c r="E67" s="52"/>
      <c r="F67" s="52"/>
      <c r="G67" s="52"/>
      <c r="H67" s="52" t="s">
        <v>8</v>
      </c>
      <c r="I67" s="54"/>
      <c r="J67" s="53">
        <f>((G30-H63)-(SUM(H64:H65)))+SUM(G64:G65)</f>
        <v>0</v>
      </c>
    </row>
    <row r="68" spans="2:10" ht="12.75" customHeight="1">
      <c r="B68" s="51"/>
      <c r="C68" s="52" t="s">
        <v>59</v>
      </c>
      <c r="D68" s="53">
        <f>D67+Mars!D68</f>
        <v>0</v>
      </c>
      <c r="E68" s="52"/>
      <c r="F68" s="52"/>
      <c r="G68" s="52"/>
      <c r="H68" s="52" t="s">
        <v>59</v>
      </c>
      <c r="I68" s="54"/>
      <c r="J68" s="53">
        <f>J67+Mars!J68</f>
        <v>0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:E1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5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40299</v>
      </c>
      <c r="H2" s="7" t="s">
        <v>141</v>
      </c>
      <c r="I2" s="6">
        <f>DATE('Param Taux'!C1,(AA1+1),0)</f>
        <v>40329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spans="2:13" ht="7.5" customHeight="1">
      <c r="B10">
        <v>111100110001000</v>
      </c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/>
      <c r="D22" s="29"/>
      <c r="E22" s="30"/>
      <c r="F22" s="31"/>
      <c r="G22" s="31">
        <f>ROUNDUP(('Composantes du salaire'!F2*'Composantes du salaire'!F3),2)</f>
        <v>755</v>
      </c>
      <c r="H22" s="31"/>
      <c r="I22" s="30"/>
      <c r="J22" s="30"/>
      <c r="K22" s="19"/>
    </row>
    <row r="23" spans="1:11" ht="11.25" customHeight="1">
      <c r="A23" s="18"/>
      <c r="B23" s="28"/>
      <c r="C23" s="34"/>
      <c r="D23" s="29">
        <f>IF((ISNA(VLOOKUP($C23,'Composantes du salaire'!$A$9:$M$16,6,FALSE))=TRUE),"",VLOOKUP($C23,'Composantes du salaire'!$A$9:$M$16,6,FALSE))</f>
      </c>
      <c r="E23" s="30"/>
      <c r="F23" s="31"/>
      <c r="G23" s="30">
        <f>IF((ISNA(VLOOKUP($C23,'Composantes du salaire'!$A$9:$M$16,6,FALSE))=TRUE),"",IF((OR(($C23="Absences congés payés :"),($C23="Maladie :"))=TRUE),,IF(($C23="Primes, avantages :"),D23,(D23*E23))))</f>
      </c>
      <c r="H23" s="30">
        <f>IF((ISNA(VLOOKUP($C23,'Composantes du salaire'!$A$9:$M$16,6,FALSE))=TRUE),"",IF((OR(($C23="Absences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/>
      <c r="D24" s="29">
        <f>IF((ISNA(VLOOKUP($C24,'Composantes du salaire'!$A$9:$M$16,6,FALSE))=TRUE),"",VLOOKUP($C24,'Composantes du salaire'!$A$9:$M$16,6,FALSE))</f>
      </c>
      <c r="E24" s="30"/>
      <c r="F24" s="31"/>
      <c r="G24" s="30">
        <f>IF((ISNA(VLOOKUP($C24,'Composantes du salaire'!$A$9:$M$16,6,FALSE))=TRUE),"",IF((OR(($C24="Absences congés payés :"),($C24="Maladie :"))=TRUE),,IF(($C24="Primes, avantages :"),D24,(D24*E24))))</f>
      </c>
      <c r="H24" s="30">
        <f>IF((ISNA(VLOOKUP($C24,'Composantes du salaire'!$A$9:$M$16,6,FALSE))=TRUE),"",IF((OR(($C24="Absences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salaire'!F11)=TRUE),,'Composantes du salaire'!A11)</f>
        <v>0</v>
      </c>
      <c r="D25" s="29">
        <f>IF((ISNA(VLOOKUP($C25,'Composantes du salaire'!$A$9:$M$16,6,FALSE))=TRUE),"",VLOOKUP($C25,'Composantes du salaire'!$A$9:$M$16,6,FALSE))</f>
      </c>
      <c r="E25" s="30"/>
      <c r="F25" s="31"/>
      <c r="G25" s="30">
        <f>IF((ISNA(VLOOKUP($C25,'Composantes du salaire'!$A$9:$M$16,6,FALSE))=TRUE),"",IF((OR(($C25="Absences congés payés :"),($C25="Maladie :"))=TRUE),,IF(($C25="Primes, avantages :"),D25,(D25*E25))))</f>
      </c>
      <c r="H25" s="30">
        <f>IF((ISNA(VLOOKUP($C25,'Composantes du salaire'!$A$9:$M$16,6,FALSE))=TRUE),"",IF((OR(($C25="Absences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salaire'!F12)=TRUE),,'Composantes du salaire'!A12)</f>
        <v>0</v>
      </c>
      <c r="D26" s="29">
        <f>IF((ISNA(VLOOKUP($C26,'Composantes du salaire'!$A$9:$M$16,6,FALSE))=TRUE),"",VLOOKUP($C26,'Composantes du salaire'!$A$9:$M$16,6,FALSE))</f>
      </c>
      <c r="E26" s="30"/>
      <c r="F26" s="31"/>
      <c r="G26" s="30">
        <f>IF((ISNA(VLOOKUP($C26,'Composantes du salaire'!$A$9:$M$16,6,FALSE))=TRUE),"",IF((OR(($C26="Absences congés payés :"),($C26="Maladie :"))=TRUE),,IF(($C26="Primes, avantages :"),D26,(D26*E26))))</f>
      </c>
      <c r="H26" s="30">
        <f>IF((ISNA(VLOOKUP($C26,'Composantes du salaire'!$A$9:$M$16,6,FALSE))=TRUE),"",IF((OR(($C26="Absences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salaire'!F13)=TRUE),,'Composantes du salaire'!A13)</f>
        <v>0</v>
      </c>
      <c r="D27" s="29">
        <f>IF((ISNA(VLOOKUP($C27,'Composantes du salaire'!$A$9:$M$16,6,FALSE))=TRUE),"",VLOOKUP($C27,'Composantes du salaire'!$A$9:$M$16,6,FALSE))</f>
      </c>
      <c r="E27" s="30"/>
      <c r="F27" s="31"/>
      <c r="G27" s="30">
        <f>IF((ISNA(VLOOKUP($C27,'Composantes du salaire'!$A$9:$M$16,6,FALSE))=TRUE),"",IF((OR(($C27="Absences congés payés :"),($C27="Maladie :"))=TRUE),,IF(($C27="Primes, avantages :"),D27,(D27*E27))))</f>
      </c>
      <c r="H27" s="30">
        <f>IF((ISNA(VLOOKUP($C27,'Composantes du salaire'!$A$9:$M$16,6,FALSE))=TRUE),"",IF((OR(($C27="Absences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salaire'!F14)=TRUE),,'Composantes du salaire'!A14)</f>
        <v>0</v>
      </c>
      <c r="D28" s="29">
        <f>IF((ISNA(VLOOKUP($C28,'Composantes du salaire'!$A$9:$M$16,6,FALSE))=TRUE),"",VLOOKUP($C28,'Composantes du salaire'!$A$9:$M$16,6,FALSE))</f>
      </c>
      <c r="E28" s="30"/>
      <c r="F28" s="31"/>
      <c r="G28" s="30">
        <f>IF((ISNA(VLOOKUP($C28,'Composantes du salaire'!$A$9:$M$16,6,FALSE))=TRUE),"",IF((OR(($C28="Absences congés payés :"),($C28="Maladie :"))=TRUE),,IF(($C28="Primes, avantages :"),D28,(D28*E28))))</f>
      </c>
      <c r="H28" s="30">
        <f>IF((ISNA(VLOOKUP($C28,'Composantes du salaire'!$A$9:$M$16,6,FALSE))=TRUE),"",IF((OR(($C28="Absences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salaire'!F15)=TRUE),,'Composantes du salaire'!A15)</f>
        <v>0</v>
      </c>
      <c r="D29" s="29">
        <f>IF((ISNA(VLOOKUP($C29,'Composantes du salaire'!$A$9:$M$16,6,FALSE))=TRUE),"",VLOOKUP($C29,'Composantes du salaire'!$A$9:$M$16,6,FALSE))</f>
      </c>
      <c r="E29" s="30"/>
      <c r="F29" s="31"/>
      <c r="G29" s="30">
        <f>IF((ISNA(VLOOKUP($C29,'Composantes du salaire'!$A$9:$M$16,6,FALSE))=TRUE),"",IF((OR(($C29="Absences congés payés :"),($C29="Maladie :"))=TRUE),,IF(($C29="Primes, avantages :"),D29,(D29*E29))))</f>
      </c>
      <c r="H29" s="30">
        <f>IF((ISNA(VLOOKUP($C29,'Composantes du salaire'!$A$9:$M$16,6,FALSE))=TRUE),"",IF((OR(($C29="Absences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755</v>
      </c>
      <c r="H30" s="31"/>
      <c r="I30" s="30"/>
      <c r="J30" s="30"/>
      <c r="K30" s="19"/>
    </row>
    <row r="31" spans="1:11" ht="11.25" customHeight="1">
      <c r="A31" s="18"/>
      <c r="B31" s="102">
        <v>40299</v>
      </c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755</v>
      </c>
      <c r="E32" s="31">
        <f>IF(('Param Taux'!$C$7="Oui"),IF(($G$30&lt;=('Param Taux'!$C$3*'Composantes du salaire'!$B$2)),0,(G30-('Param Taux'!$C$3*'Composantes du salaire'!$B$2))),$G$30)</f>
        <v>755</v>
      </c>
      <c r="F32" s="33">
        <f>'Param Taux'!C12+'Param Taux'!C13</f>
        <v>0.0085</v>
      </c>
      <c r="G32" s="30"/>
      <c r="H32" s="31">
        <f aca="true" t="shared" si="0" ref="H32:H51">E32*F32</f>
        <v>6.4175</v>
      </c>
      <c r="I32" s="33">
        <f>'Param Taux'!D12</f>
        <v>0.128</v>
      </c>
      <c r="J32" s="31">
        <f aca="true" t="shared" si="1" ref="J32:J51">I32*E32</f>
        <v>96.64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755</v>
      </c>
      <c r="E33" s="31">
        <f>IF(('Param Taux'!$C$7="Oui"),IF(($G$30&lt;=('Param Taux'!$C$3*'Composantes du salaire'!$B$2)),0,(G30-('Param Taux'!$C$3*'Composantes du salaire'!$B$2))),$G$30)</f>
        <v>755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55.114999999999995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755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755</v>
      </c>
      <c r="F34" s="33">
        <f>'Param Taux'!C15</f>
        <v>0.0665</v>
      </c>
      <c r="G34" s="30"/>
      <c r="H34" s="31">
        <f t="shared" si="0"/>
        <v>50.2075</v>
      </c>
      <c r="I34" s="33">
        <f>'Param Taux'!D15</f>
        <v>0.083</v>
      </c>
      <c r="J34" s="31">
        <f t="shared" si="1"/>
        <v>62.665000000000006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755</v>
      </c>
      <c r="E35" s="31">
        <f>IF(('Param Taux'!$C$7="Oui"),IF(($G$30&lt;=('Param Taux'!$C$3*'Composantes du salaire'!$B$2)),0,(G30-('Param Taux'!$C$3*'Composantes du salaire'!$B$2))),$G$30)</f>
        <v>755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12.08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755</v>
      </c>
      <c r="E36" s="31">
        <f>IF(('Param Taux'!$C$7="Oui"),IF(($G$30&lt;=('Param Taux'!$C$3*'Composantes du salaire'!$B$2)),0,(G30-('Param Taux'!$C$3*'Composantes du salaire'!$B$2))),$G$30)</f>
        <v>755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40.769999999999996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755</v>
      </c>
      <c r="E37" s="31">
        <f>IF(($G$30&lt;='Param Taux'!C2),$G$30,'Param Taux'!$C$2)</f>
        <v>755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0.755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755</v>
      </c>
      <c r="E38" s="31">
        <f>$G$30</f>
        <v>755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755</v>
      </c>
      <c r="F40" s="33">
        <f>'Param Taux'!C22</f>
        <v>0.024</v>
      </c>
      <c r="G40" s="30"/>
      <c r="H40" s="31">
        <f t="shared" si="0"/>
        <v>18.12</v>
      </c>
      <c r="I40" s="33">
        <f>'Param Taux'!D22</f>
        <v>0.04</v>
      </c>
      <c r="J40" s="31">
        <f t="shared" si="1"/>
        <v>30.2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755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3.02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755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755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755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755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717.25</v>
      </c>
      <c r="F50" s="33">
        <f>'Param Taux'!C37</f>
        <v>0.029</v>
      </c>
      <c r="G50" s="30"/>
      <c r="H50" s="31">
        <f t="shared" si="0"/>
        <v>20.800250000000002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717.25</v>
      </c>
      <c r="F51" s="33">
        <f>'Param Taux'!C38</f>
        <v>0.051</v>
      </c>
      <c r="G51" s="30"/>
      <c r="H51" s="31">
        <f t="shared" si="0"/>
        <v>36.57975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755</v>
      </c>
      <c r="F55" s="33">
        <f>'Param Taux'!C42</f>
        <v>0.0087</v>
      </c>
      <c r="G55" s="30"/>
      <c r="H55" s="31">
        <f>E55*F55</f>
        <v>6.568499999999999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755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138.6935</v>
      </c>
      <c r="I63" s="44"/>
      <c r="J63" s="43">
        <f>SUM(J32:J62)</f>
        <v>301.245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637.10675</v>
      </c>
      <c r="E67" s="52"/>
      <c r="F67" s="52"/>
      <c r="G67" s="52"/>
      <c r="H67" s="52" t="s">
        <v>8</v>
      </c>
      <c r="I67" s="54"/>
      <c r="J67" s="53">
        <f>((G30-H63)-(SUM(H64:H65)))+SUM(G64:G65)</f>
        <v>616.3065</v>
      </c>
    </row>
    <row r="68" spans="2:10" ht="12.75" customHeight="1">
      <c r="B68" s="51"/>
      <c r="C68" s="52" t="s">
        <v>59</v>
      </c>
      <c r="D68" s="53">
        <f>D67+Avr!D68</f>
        <v>637.10675</v>
      </c>
      <c r="E68" s="52"/>
      <c r="F68" s="52"/>
      <c r="G68" s="52"/>
      <c r="H68" s="52" t="s">
        <v>59</v>
      </c>
      <c r="I68" s="54"/>
      <c r="J68" s="53">
        <f>J67+Avr!J68</f>
        <v>616.3065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7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6">
      <selection activeCell="A1" sqref="A1:E1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6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40330</v>
      </c>
      <c r="H2" s="7" t="s">
        <v>141</v>
      </c>
      <c r="I2" s="6">
        <f>DATE('Param Taux'!C1,(AA1+1),0)</f>
        <v>40359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spans="2:13" ht="7.5" customHeight="1">
      <c r="B10">
        <v>111100110001000</v>
      </c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/>
      <c r="D22" s="29"/>
      <c r="E22" s="30"/>
      <c r="F22" s="31"/>
      <c r="G22" s="31">
        <f>ROUNDUP(('Composantes du salaire'!G2*'Composantes du salaire'!G3),2)</f>
        <v>1510</v>
      </c>
      <c r="H22" s="31"/>
      <c r="I22" s="30"/>
      <c r="J22" s="30"/>
      <c r="K22" s="19"/>
    </row>
    <row r="23" spans="1:11" ht="11.25" customHeight="1">
      <c r="A23" s="18"/>
      <c r="B23" s="28"/>
      <c r="C23" s="34"/>
      <c r="D23" s="29">
        <f>IF((ISNA(VLOOKUP($C23,'Composantes du salaire'!$A$9:$M$16,7,FALSE))=TRUE),"",VLOOKUP($C23,'Composantes du salaire'!$A$9:$M$16,7,FALSE))</f>
      </c>
      <c r="E23" s="30"/>
      <c r="F23" s="31"/>
      <c r="G23" s="30">
        <f>IF((ISNA(VLOOKUP($C23,'Composantes du salaire'!$A$9:$M$16,7,FALSE))=TRUE),"",IF((OR(($C23="Absences congés payés :"),($C23="Maladie :"))=TRUE),,IF(($C23="Primes, avantages :"),D23,(D23*E23))))</f>
      </c>
      <c r="H23" s="30">
        <f>IF((ISNA(VLOOKUP($C23,'Composantes du salaire'!$A$9:$M$16,7,FALSE))=TRUE),"",IF((OR(($C23="Absences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/>
      <c r="D24" s="29">
        <f>IF((ISNA(VLOOKUP($C24,'Composantes du salaire'!$A$9:$M$16,7,FALSE))=TRUE),"",VLOOKUP($C24,'Composantes du salaire'!$A$9:$M$16,7,FALSE))</f>
      </c>
      <c r="E24" s="30"/>
      <c r="F24" s="31"/>
      <c r="G24" s="30">
        <f>IF((ISNA(VLOOKUP($C24,'Composantes du salaire'!$A$9:$M$16,7,FALSE))=TRUE),"",IF((OR(($C24="Absences congés payés :"),($C24="Maladie :"))=TRUE),,IF(($C24="Primes, avantages :"),D24,(D24*E24))))</f>
      </c>
      <c r="H24" s="30">
        <f>IF((ISNA(VLOOKUP($C24,'Composantes du salaire'!$A$9:$M$16,7,FALSE))=TRUE),"",IF((OR(($C24="Absences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salaire'!G11)=TRUE),,'Composantes du salaire'!A11)</f>
        <v>0</v>
      </c>
      <c r="D25" s="29">
        <f>IF((ISNA(VLOOKUP($C25,'Composantes du salaire'!$A$9:$M$16,7,FALSE))=TRUE),"",VLOOKUP($C25,'Composantes du salaire'!$A$9:$M$16,7,FALSE))</f>
      </c>
      <c r="E25" s="30"/>
      <c r="F25" s="31"/>
      <c r="G25" s="30">
        <f>IF((ISNA(VLOOKUP($C25,'Composantes du salaire'!$A$9:$M$16,7,FALSE))=TRUE),"",IF((OR(($C25="Absences congés payés :"),($C25="Maladie :"))=TRUE),,IF(($C25="Primes, avantages :"),D25,(D25*E25))))</f>
      </c>
      <c r="H25" s="30">
        <f>IF((ISNA(VLOOKUP($C25,'Composantes du salaire'!$A$9:$M$16,7,FALSE))=TRUE),"",IF((OR(($C25="Absences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salaire'!G12)=TRUE),,'Composantes du salaire'!A12)</f>
        <v>0</v>
      </c>
      <c r="D26" s="29">
        <f>IF((ISNA(VLOOKUP($C26,'Composantes du salaire'!$A$9:$M$16,7,FALSE))=TRUE),"",VLOOKUP($C26,'Composantes du salaire'!$A$9:$M$16,7,FALSE))</f>
      </c>
      <c r="E26" s="30"/>
      <c r="F26" s="31"/>
      <c r="G26" s="30">
        <f>IF((ISNA(VLOOKUP($C26,'Composantes du salaire'!$A$9:$M$16,7,FALSE))=TRUE),"",IF((OR(($C26="Absences congés payés :"),($C26="Maladie :"))=TRUE),,IF(($C26="Primes, avantages :"),D26,(D26*E26))))</f>
      </c>
      <c r="H26" s="30">
        <f>IF((ISNA(VLOOKUP($C26,'Composantes du salaire'!$A$9:$M$16,7,FALSE))=TRUE),"",IF((OR(($C26="Absences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salaire'!G13)=TRUE),,'Composantes du salaire'!A13)</f>
        <v>0</v>
      </c>
      <c r="D27" s="29">
        <f>IF((ISNA(VLOOKUP($C27,'Composantes du salaire'!$A$9:$M$16,7,FALSE))=TRUE),"",VLOOKUP($C27,'Composantes du salaire'!$A$9:$M$16,7,FALSE))</f>
      </c>
      <c r="E27" s="30"/>
      <c r="F27" s="31"/>
      <c r="G27" s="30">
        <f>IF((ISNA(VLOOKUP($C27,'Composantes du salaire'!$A$9:$M$16,7,FALSE))=TRUE),"",IF((OR(($C27="Absences congés payés :"),($C27="Maladie :"))=TRUE),,IF(($C27="Primes, avantages :"),D27,(D27*E27))))</f>
      </c>
      <c r="H27" s="30">
        <f>IF((ISNA(VLOOKUP($C27,'Composantes du salaire'!$A$9:$M$16,7,FALSE))=TRUE),"",IF((OR(($C27="Absences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salaire'!G14)=TRUE),,'Composantes du salaire'!A14)</f>
        <v>0</v>
      </c>
      <c r="D28" s="29">
        <f>IF((ISNA(VLOOKUP($C28,'Composantes du salaire'!$A$9:$M$16,7,FALSE))=TRUE),"",VLOOKUP($C28,'Composantes du salaire'!$A$9:$M$16,7,FALSE))</f>
      </c>
      <c r="E28" s="30"/>
      <c r="F28" s="31"/>
      <c r="G28" s="30">
        <f>IF((ISNA(VLOOKUP($C28,'Composantes du salaire'!$A$9:$M$16,7,FALSE))=TRUE),"",IF((OR(($C28="Absences congés payés :"),($C28="Maladie :"))=TRUE),,IF(($C28="Primes, avantages :"),D28,(D28*E28))))</f>
      </c>
      <c r="H28" s="30">
        <f>IF((ISNA(VLOOKUP($C28,'Composantes du salaire'!$A$9:$M$16,7,FALSE))=TRUE),"",IF((OR(($C28="Absences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salaire'!G15)=TRUE),,'Composantes du salaire'!A15)</f>
        <v>0</v>
      </c>
      <c r="D29" s="29">
        <f>IF((ISNA(VLOOKUP($C29,'Composantes du salaire'!$A$9:$M$16,7,FALSE))=TRUE),"",VLOOKUP($C29,'Composantes du salaire'!$A$9:$M$16,7,FALSE))</f>
      </c>
      <c r="E29" s="30"/>
      <c r="F29" s="31"/>
      <c r="G29" s="30">
        <f>IF((ISNA(VLOOKUP($C29,'Composantes du salaire'!$A$9:$M$16,7,FALSE))=TRUE),"",IF((OR(($C29="Absences congés payés :"),($C29="Maladie :"))=TRUE),,IF(($C29="Primes, avantages :"),D29,(D29*E29))))</f>
      </c>
      <c r="H29" s="30">
        <f>IF((ISNA(VLOOKUP($C29,'Composantes du salaire'!$A$9:$M$16,7,FALSE))=TRUE),"",IF((OR(($C29="Absences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1510</v>
      </c>
      <c r="H30" s="31"/>
      <c r="I30" s="30"/>
      <c r="J30" s="30"/>
      <c r="K30" s="19"/>
    </row>
    <row r="31" spans="1:11" ht="11.25" customHeight="1">
      <c r="A31" s="18"/>
      <c r="B31" s="102">
        <v>40299</v>
      </c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1510</v>
      </c>
      <c r="E32" s="31">
        <f>IF(('Param Taux'!$C$7="Oui"),IF(($G$30&lt;=('Param Taux'!$C$3*'Composantes du salaire'!$B$2)),0,(G30-('Param Taux'!$C$3*'Composantes du salaire'!$B$2))),$G$30)</f>
        <v>1510</v>
      </c>
      <c r="F32" s="33">
        <f>'Param Taux'!C12+'Param Taux'!C13</f>
        <v>0.0085</v>
      </c>
      <c r="G32" s="30"/>
      <c r="H32" s="31">
        <f aca="true" t="shared" si="0" ref="H32:H51">E32*F32</f>
        <v>12.835</v>
      </c>
      <c r="I32" s="33">
        <f>'Param Taux'!D12</f>
        <v>0.128</v>
      </c>
      <c r="J32" s="31">
        <f aca="true" t="shared" si="1" ref="J32:J51">I32*E32</f>
        <v>193.28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1510</v>
      </c>
      <c r="E33" s="31">
        <f>IF(('Param Taux'!$C$7="Oui"),IF(($G$30&lt;=('Param Taux'!$C$3*'Composantes du salaire'!$B$2)),0,(G30-('Param Taux'!$C$3*'Composantes du salaire'!$B$2))),$G$30)</f>
        <v>1510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110.22999999999999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1510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1510</v>
      </c>
      <c r="F34" s="33">
        <f>'Param Taux'!C15</f>
        <v>0.0665</v>
      </c>
      <c r="G34" s="30"/>
      <c r="H34" s="31">
        <f t="shared" si="0"/>
        <v>100.415</v>
      </c>
      <c r="I34" s="33">
        <f>'Param Taux'!D15</f>
        <v>0.083</v>
      </c>
      <c r="J34" s="31">
        <f t="shared" si="1"/>
        <v>125.33000000000001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1510</v>
      </c>
      <c r="E35" s="31">
        <f>IF(('Param Taux'!$C$7="Oui"),IF(($G$30&lt;=('Param Taux'!$C$3*'Composantes du salaire'!$B$2)),0,(G30-('Param Taux'!$C$3*'Composantes du salaire'!$B$2))),$G$30)</f>
        <v>1510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24.16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1510</v>
      </c>
      <c r="E36" s="31">
        <f>IF(('Param Taux'!$C$7="Oui"),IF(($G$30&lt;=('Param Taux'!$C$3*'Composantes du salaire'!$B$2)),0,(G30-('Param Taux'!$C$3*'Composantes du salaire'!$B$2))),$G$30)</f>
        <v>1510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81.53999999999999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1510</v>
      </c>
      <c r="E37" s="31">
        <f>IF(($G$30&lt;='Param Taux'!C2),$G$30,'Param Taux'!$C$2)</f>
        <v>1510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1.51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1510</v>
      </c>
      <c r="E38" s="31">
        <f>$G$30</f>
        <v>1510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1510</v>
      </c>
      <c r="F40" s="33">
        <f>'Param Taux'!C22</f>
        <v>0.024</v>
      </c>
      <c r="G40" s="30"/>
      <c r="H40" s="31">
        <f t="shared" si="0"/>
        <v>36.24</v>
      </c>
      <c r="I40" s="33">
        <f>'Param Taux'!D22</f>
        <v>0.04</v>
      </c>
      <c r="J40" s="31">
        <f t="shared" si="1"/>
        <v>60.4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1510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6.04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1510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1510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1510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1510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1434.5</v>
      </c>
      <c r="F50" s="33">
        <f>'Param Taux'!C37</f>
        <v>0.029</v>
      </c>
      <c r="G50" s="30"/>
      <c r="H50" s="31">
        <f t="shared" si="0"/>
        <v>41.600500000000004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1434.5</v>
      </c>
      <c r="F51" s="33">
        <f>'Param Taux'!C38</f>
        <v>0.051</v>
      </c>
      <c r="G51" s="30"/>
      <c r="H51" s="31">
        <f t="shared" si="0"/>
        <v>73.1595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1510</v>
      </c>
      <c r="F55" s="33">
        <f>'Param Taux'!C42</f>
        <v>0.0087</v>
      </c>
      <c r="G55" s="30"/>
      <c r="H55" s="31">
        <f>E55*F55</f>
        <v>13.136999999999999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1510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277.387</v>
      </c>
      <c r="I63" s="44"/>
      <c r="J63" s="43">
        <f>SUM(J32:J62)</f>
        <v>602.49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1274.2135</v>
      </c>
      <c r="E67" s="52"/>
      <c r="F67" s="52"/>
      <c r="G67" s="52"/>
      <c r="H67" s="52" t="s">
        <v>8</v>
      </c>
      <c r="I67" s="54"/>
      <c r="J67" s="53">
        <f>((G30-H63)-(SUM(H64:H65)))+SUM(G64:G65)</f>
        <v>1232.613</v>
      </c>
    </row>
    <row r="68" spans="2:10" ht="12.75" customHeight="1">
      <c r="B68" s="51"/>
      <c r="C68" s="52" t="s">
        <v>59</v>
      </c>
      <c r="D68" s="53">
        <f>D67+Mai!D68</f>
        <v>1911.3202500000002</v>
      </c>
      <c r="E68" s="52"/>
      <c r="F68" s="52"/>
      <c r="G68" s="52"/>
      <c r="H68" s="52" t="s">
        <v>59</v>
      </c>
      <c r="I68" s="54"/>
      <c r="J68" s="53">
        <f>J67+Mai!J68</f>
        <v>1848.9195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5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A1" sqref="A1:E1"/>
    </sheetView>
  </sheetViews>
  <sheetFormatPr defaultColWidth="11.421875" defaultRowHeight="12.75" customHeight="1"/>
  <cols>
    <col min="1" max="1" width="3.140625" style="0" customWidth="1"/>
    <col min="2" max="2" width="7.28125" style="0" customWidth="1"/>
    <col min="3" max="3" width="24.140625" style="0" customWidth="1"/>
    <col min="4" max="4" width="8.421875" style="0" customWidth="1"/>
    <col min="5" max="5" width="8.57421875" style="0" customWidth="1"/>
    <col min="6" max="10" width="8.421875" style="0" customWidth="1"/>
    <col min="11" max="11" width="2.57421875" style="0" customWidth="1"/>
    <col min="12" max="27" width="11.421875" style="0" customWidth="1"/>
  </cols>
  <sheetData>
    <row r="1" spans="1:27" ht="18" customHeight="1">
      <c r="A1" s="137" t="str">
        <f>'Param Identification'!B2</f>
        <v>SARL</v>
      </c>
      <c r="B1" s="137"/>
      <c r="C1" s="137"/>
      <c r="D1" s="137"/>
      <c r="E1" s="137"/>
      <c r="F1" s="129" t="s">
        <v>139</v>
      </c>
      <c r="G1" s="130"/>
      <c r="H1" s="130"/>
      <c r="I1" s="130"/>
      <c r="J1" s="130"/>
      <c r="L1" s="1">
        <v>2</v>
      </c>
      <c r="M1" s="2" t="str">
        <f>'Composantes du salaire'!A10</f>
        <v>Absences congés payés :</v>
      </c>
      <c r="AA1" s="3">
        <v>7</v>
      </c>
    </row>
    <row r="2" spans="1:13" ht="15" customHeight="1">
      <c r="A2" s="138" t="str">
        <f>'Param Identification'!B3</f>
        <v>41 Bd</v>
      </c>
      <c r="B2" s="138"/>
      <c r="C2" s="138"/>
      <c r="D2" s="138"/>
      <c r="E2" s="138"/>
      <c r="F2" s="5" t="s">
        <v>37</v>
      </c>
      <c r="G2" s="6">
        <f>DATE('Param Taux'!C1,AA1,1)</f>
        <v>40360</v>
      </c>
      <c r="H2" s="7" t="s">
        <v>141</v>
      </c>
      <c r="I2" s="6">
        <f>DATE('Param Taux'!C1,(AA1+1),0)</f>
        <v>40390</v>
      </c>
      <c r="M2" s="2" t="str">
        <f>'Composantes du salaire'!A11</f>
        <v>Heures supplémentaire majorées :</v>
      </c>
    </row>
    <row r="3" spans="1:13" ht="15" customHeight="1">
      <c r="A3" s="138" t="str">
        <f>'Param Identification'!B4</f>
        <v>Adresse 2 de la société</v>
      </c>
      <c r="B3" s="138"/>
      <c r="C3" s="138"/>
      <c r="D3" s="138"/>
      <c r="E3" s="138"/>
      <c r="M3" s="2" t="str">
        <f>'Composantes du salaire'!A12</f>
        <v>Heures supplémentaires :</v>
      </c>
    </row>
    <row r="4" spans="1:13" ht="18" customHeight="1">
      <c r="A4" s="139">
        <f>'Param Identification'!B5</f>
        <v>75000</v>
      </c>
      <c r="B4" s="139"/>
      <c r="C4" s="55" t="str">
        <f>'Param Identification'!B6</f>
        <v>paris </v>
      </c>
      <c r="D4" s="55"/>
      <c r="E4" s="55"/>
      <c r="F4" s="125">
        <f>'Param Identification'!B17</f>
        <v>0</v>
      </c>
      <c r="G4" s="125"/>
      <c r="H4" s="125"/>
      <c r="I4" s="125"/>
      <c r="J4" s="125"/>
      <c r="M4" s="2" t="str">
        <f>'Composantes du salaire'!A13</f>
        <v>IJSS :</v>
      </c>
    </row>
    <row r="5" spans="1:13" ht="12.75" customHeight="1">
      <c r="A5" s="133" t="s">
        <v>50</v>
      </c>
      <c r="B5" s="133"/>
      <c r="C5" s="57">
        <f>'Param Identification'!B7</f>
        <v>101010101</v>
      </c>
      <c r="D5" s="56"/>
      <c r="E5" s="52"/>
      <c r="F5" s="125">
        <f>'Param Identification'!B18</f>
        <v>0</v>
      </c>
      <c r="G5" s="125"/>
      <c r="H5" s="125"/>
      <c r="I5" s="125"/>
      <c r="J5" s="125"/>
      <c r="M5" s="2" t="str">
        <f>'Composantes du salaire'!A14</f>
        <v>Indemnité congés payés :</v>
      </c>
    </row>
    <row r="6" spans="1:13" ht="12.75" customHeight="1">
      <c r="A6" s="133" t="s">
        <v>99</v>
      </c>
      <c r="B6" s="133"/>
      <c r="C6" s="57">
        <f>'Param Identification'!B8</f>
        <v>101010101</v>
      </c>
      <c r="D6" s="56"/>
      <c r="E6" s="52"/>
      <c r="F6" s="125" t="str">
        <f>'Param Identification'!B19</f>
        <v>Adresse 1 du salarié</v>
      </c>
      <c r="G6" s="125"/>
      <c r="H6" s="125"/>
      <c r="I6" s="125"/>
      <c r="J6" s="125"/>
      <c r="M6" s="2" t="str">
        <f>'Composantes du salaire'!A15</f>
        <v>Maladie :</v>
      </c>
    </row>
    <row r="7" spans="1:13" ht="12.75" customHeight="1">
      <c r="A7" s="133" t="s">
        <v>120</v>
      </c>
      <c r="B7" s="133"/>
      <c r="C7" s="58">
        <f>'Param Identification'!B10</f>
        <v>111100110001000</v>
      </c>
      <c r="D7" s="56" t="s">
        <v>73</v>
      </c>
      <c r="E7" s="59" t="str">
        <f>'Param Identification'!B11</f>
        <v>4120A</v>
      </c>
      <c r="F7" s="125" t="str">
        <f>'Param Identification'!B20</f>
        <v>Adresse 2 du salarié</v>
      </c>
      <c r="G7" s="125"/>
      <c r="H7" s="125"/>
      <c r="I7" s="125"/>
      <c r="J7" s="125"/>
      <c r="M7" s="2" t="str">
        <f>'Composantes du salaire'!A9</f>
        <v>Primes, avantages :</v>
      </c>
    </row>
    <row r="8" spans="1:13" ht="12.75" customHeight="1">
      <c r="A8" s="133" t="s">
        <v>17</v>
      </c>
      <c r="B8" s="133"/>
      <c r="C8" s="60">
        <f>'Param Identification'!B12</f>
        <v>75000000000000000</v>
      </c>
      <c r="D8" s="56" t="s">
        <v>66</v>
      </c>
      <c r="E8" s="59" t="str">
        <f>'Param Identification'!B13</f>
        <v>000000000000000000</v>
      </c>
      <c r="F8" s="134">
        <f>'Param Identification'!B21</f>
        <v>1</v>
      </c>
      <c r="G8" s="134"/>
      <c r="H8" s="134"/>
      <c r="I8" s="134"/>
      <c r="J8" s="134"/>
      <c r="M8" s="1">
        <f>'Composantes du salaire'!A16</f>
        <v>0</v>
      </c>
    </row>
    <row r="9" spans="1:13" ht="26.25" customHeight="1">
      <c r="A9" s="135" t="s">
        <v>31</v>
      </c>
      <c r="B9" s="135"/>
      <c r="C9" s="136" t="str">
        <f>'Param Identification'!B14</f>
        <v>BATIMENT REGION PARISIENNE 3032</v>
      </c>
      <c r="D9" s="136"/>
      <c r="E9" s="136"/>
      <c r="F9" s="125">
        <f>'Param Identification'!B22</f>
        <v>0</v>
      </c>
      <c r="G9" s="125"/>
      <c r="H9" s="125"/>
      <c r="I9" s="125"/>
      <c r="J9" s="125"/>
      <c r="M9" s="1">
        <f>'Composantes du salaire'!A17</f>
        <v>0</v>
      </c>
    </row>
    <row r="10" spans="2:13" ht="7.5" customHeight="1">
      <c r="B10">
        <v>111100110001000</v>
      </c>
      <c r="M10" s="1">
        <f>'Composantes du salaire'!A18</f>
        <v>0</v>
      </c>
    </row>
    <row r="11" spans="1:13" ht="12.75" customHeight="1">
      <c r="A11" s="119" t="s">
        <v>127</v>
      </c>
      <c r="B11" s="119"/>
      <c r="C11" s="14" t="str">
        <f>'Param Identification'!B27</f>
        <v>IV</v>
      </c>
      <c r="F11" s="13" t="s">
        <v>1</v>
      </c>
      <c r="H11" s="122">
        <f>'Param Identification'!B24</f>
        <v>0</v>
      </c>
      <c r="I11" s="122"/>
      <c r="J11" s="122"/>
      <c r="M11" s="2">
        <f>'Composantes du salaire'!A19</f>
        <v>0</v>
      </c>
    </row>
    <row r="12" spans="1:10" ht="12.75" customHeight="1">
      <c r="A12" s="121" t="s">
        <v>55</v>
      </c>
      <c r="B12" s="121"/>
      <c r="C12" s="15">
        <f>'Param Identification'!B23</f>
        <v>0</v>
      </c>
      <c r="F12" s="13" t="s">
        <v>125</v>
      </c>
      <c r="H12" s="132" t="str">
        <f>'Param Identification'!B25</f>
        <v>012</v>
      </c>
      <c r="I12" s="132"/>
      <c r="J12" s="132"/>
    </row>
    <row r="13" spans="1:10" ht="12.75" customHeight="1">
      <c r="A13" s="119" t="s">
        <v>9</v>
      </c>
      <c r="B13" s="119"/>
      <c r="C13" s="14" t="str">
        <f>'Param Identification'!B28</f>
        <v>Intitulé de l'emploi</v>
      </c>
      <c r="F13" s="13" t="s">
        <v>81</v>
      </c>
      <c r="H13" s="122">
        <f>'Composantes du salaire'!B2</f>
        <v>0</v>
      </c>
      <c r="I13" s="122"/>
      <c r="J13" s="122"/>
    </row>
    <row r="14" spans="1:9" ht="12.75" customHeight="1">
      <c r="A14" s="119" t="s">
        <v>48</v>
      </c>
      <c r="B14" s="119"/>
      <c r="C14" s="16" t="e">
        <f>IF(((DAYS360('Param Identification'!B31,I2))&lt;=0),"La date d'entrée est ultérieure au mois en cours",(((ROUNDDOWN((DAYS360('Param Identification'!B31,I2)/360),0)&amp;" an(s) ")&amp;ROUND((MOD(DAYS360('Param Identification'!B31,I2),360)/30),0))&amp;" mois"))</f>
        <v>#VALUE!</v>
      </c>
      <c r="F14" s="17"/>
      <c r="G14" s="17"/>
      <c r="H14" s="17"/>
      <c r="I14" s="17"/>
    </row>
    <row r="15" spans="5:10" ht="11.25" customHeight="1">
      <c r="E15" s="18"/>
      <c r="F15" s="123" t="s">
        <v>75</v>
      </c>
      <c r="G15" s="123"/>
      <c r="H15" s="123" t="s">
        <v>132</v>
      </c>
      <c r="I15" s="123"/>
      <c r="J15" s="19"/>
    </row>
    <row r="16" spans="1:10" ht="11.25" customHeight="1">
      <c r="A16" s="119" t="s">
        <v>24</v>
      </c>
      <c r="B16" s="119"/>
      <c r="C16" s="16" t="str">
        <f>IF(('Composantes du salaire'!Z1=2),"Non Cadre","Cadre")</f>
        <v>Cadre</v>
      </c>
      <c r="E16" s="18"/>
      <c r="F16" s="20" t="s">
        <v>119</v>
      </c>
      <c r="G16" s="21"/>
      <c r="H16" s="20" t="s">
        <v>119</v>
      </c>
      <c r="I16" s="22"/>
      <c r="J16" s="19"/>
    </row>
    <row r="17" spans="1:10" ht="11.25" customHeight="1">
      <c r="A17" s="119" t="s">
        <v>83</v>
      </c>
      <c r="B17" s="119"/>
      <c r="C17" s="16" t="str">
        <f>'Param Identification'!B26</f>
        <v>012</v>
      </c>
      <c r="E17" s="18"/>
      <c r="F17" s="20" t="s">
        <v>96</v>
      </c>
      <c r="G17" s="21"/>
      <c r="H17" s="20" t="s">
        <v>96</v>
      </c>
      <c r="I17" s="22"/>
      <c r="J17" s="19"/>
    </row>
    <row r="18" spans="5:10" ht="11.25" customHeight="1">
      <c r="E18" s="18"/>
      <c r="F18" s="20" t="s">
        <v>67</v>
      </c>
      <c r="G18" s="22"/>
      <c r="H18" s="20" t="s">
        <v>67</v>
      </c>
      <c r="I18" s="22"/>
      <c r="J18" s="19"/>
    </row>
    <row r="19" spans="2:10" ht="6" customHeight="1">
      <c r="B19" s="17"/>
      <c r="C19" s="17"/>
      <c r="D19" s="17"/>
      <c r="E19" s="17"/>
      <c r="F19" s="23"/>
      <c r="G19" s="23"/>
      <c r="H19" s="23"/>
      <c r="I19" s="23"/>
      <c r="J19" s="17"/>
    </row>
    <row r="20" spans="1:11" ht="11.25" customHeight="1">
      <c r="A20" s="18"/>
      <c r="B20" s="24" t="s">
        <v>108</v>
      </c>
      <c r="C20" s="24" t="s">
        <v>124</v>
      </c>
      <c r="D20" s="24" t="s">
        <v>84</v>
      </c>
      <c r="E20" s="24" t="s">
        <v>36</v>
      </c>
      <c r="F20" s="120" t="s">
        <v>137</v>
      </c>
      <c r="G20" s="120"/>
      <c r="H20" s="120"/>
      <c r="I20" s="120" t="s">
        <v>148</v>
      </c>
      <c r="J20" s="120"/>
      <c r="K20" s="19"/>
    </row>
    <row r="21" spans="1:11" ht="11.25" customHeight="1">
      <c r="A21" s="18"/>
      <c r="B21" s="25"/>
      <c r="C21" s="26"/>
      <c r="D21" s="25"/>
      <c r="E21" s="25"/>
      <c r="F21" s="27" t="s">
        <v>56</v>
      </c>
      <c r="G21" s="27" t="s">
        <v>22</v>
      </c>
      <c r="H21" s="27" t="s">
        <v>3</v>
      </c>
      <c r="I21" s="27" t="s">
        <v>56</v>
      </c>
      <c r="J21" s="27" t="s">
        <v>3</v>
      </c>
      <c r="K21" s="19"/>
    </row>
    <row r="22" spans="1:11" ht="11.25" customHeight="1">
      <c r="A22" s="18"/>
      <c r="B22" s="28"/>
      <c r="C22" s="29"/>
      <c r="D22" s="29"/>
      <c r="E22" s="30"/>
      <c r="F22" s="31"/>
      <c r="G22" s="31">
        <f>ROUNDUP(('Composantes du salaire'!H2*'Composantes du salaire'!H3),2)</f>
        <v>1510</v>
      </c>
      <c r="H22" s="31"/>
      <c r="I22" s="30"/>
      <c r="J22" s="30"/>
      <c r="K22" s="19"/>
    </row>
    <row r="23" spans="1:11" ht="11.25" customHeight="1">
      <c r="A23" s="18"/>
      <c r="B23" s="28"/>
      <c r="C23" s="34"/>
      <c r="D23" s="29">
        <f>IF((ISNA(VLOOKUP($C23,'Composantes du salaire'!$A$9:$M$16,8,FALSE))=TRUE),"",VLOOKUP($C23,'Composantes du salaire'!$A$9:$M$16,8,FALSE))</f>
      </c>
      <c r="E23" s="30"/>
      <c r="F23" s="31"/>
      <c r="G23" s="30">
        <f>IF((ISNA(VLOOKUP($C23,'Composantes du salaire'!$A$9:$M$16,8,FALSE))=TRUE),"",IF((OR(($C23="Absences congés payés :"),($C23="Maladie :"))=TRUE),,IF(($C23="Primes, avantages :"),D23,(D23*E23))))</f>
      </c>
      <c r="H23" s="30">
        <f>IF((ISNA(VLOOKUP($C23,'Composantes du salaire'!$A$9:$M$16,8,FALSE))=TRUE),"",IF((OR(($C23="Absences congés payés :"),($C23="Maladie :"))=FALSE),,IF(($C23="Primes, avantages :"),D23,(D23*E23))))</f>
      </c>
      <c r="I23" s="30"/>
      <c r="J23" s="30"/>
      <c r="K23" s="19"/>
    </row>
    <row r="24" spans="1:11" ht="11.25" customHeight="1">
      <c r="A24" s="18"/>
      <c r="B24" s="28"/>
      <c r="C24" s="34"/>
      <c r="D24" s="29">
        <f>IF((ISNA(VLOOKUP($C24,'Composantes du salaire'!$A$9:$M$16,8,FALSE))=TRUE),"",VLOOKUP($C24,'Composantes du salaire'!$A$9:$M$16,8,FALSE))</f>
      </c>
      <c r="E24" s="30"/>
      <c r="F24" s="31"/>
      <c r="G24" s="30">
        <f>IF((ISNA(VLOOKUP($C24,'Composantes du salaire'!$A$9:$M$16,8,FALSE))=TRUE),"",IF((OR(($C24="Absences congés payés :"),($C24="Maladie :"))=TRUE),,IF(($C24="Primes, avantages :"),D24,(D24*E24))))</f>
      </c>
      <c r="H24" s="30">
        <f>IF((ISNA(VLOOKUP($C24,'Composantes du salaire'!$A$9:$M$16,8,FALSE))=TRUE),"",IF((OR(($C24="Absences congés payés :"),($C24="Maladie :"))=FALSE),,IF(($C24="Primes, avantages :"),D24,(D24*E24))))</f>
      </c>
      <c r="I24" s="30"/>
      <c r="J24" s="30"/>
      <c r="K24" s="19"/>
    </row>
    <row r="25" spans="1:11" ht="11.25" customHeight="1">
      <c r="A25" s="18"/>
      <c r="B25" s="28"/>
      <c r="C25" s="34">
        <f>IF((ISBLANK('Composantes du salaire'!H11)=TRUE),,'Composantes du salaire'!A11)</f>
        <v>0</v>
      </c>
      <c r="D25" s="29">
        <f>IF((ISNA(VLOOKUP($C25,'Composantes du salaire'!$A$9:$M$16,8,FALSE))=TRUE),"",VLOOKUP($C25,'Composantes du salaire'!$A$9:$M$16,8,FALSE))</f>
      </c>
      <c r="E25" s="30"/>
      <c r="F25" s="31"/>
      <c r="G25" s="30">
        <f>IF((ISNA(VLOOKUP($C25,'Composantes du salaire'!$A$9:$M$16,8,FALSE))=TRUE),"",IF((OR(($C25="Absences congés payés :"),($C25="Maladie :"))=TRUE),,IF(($C25="Primes, avantages :"),D25,(D25*E25))))</f>
      </c>
      <c r="H25" s="30">
        <f>IF((ISNA(VLOOKUP($C25,'Composantes du salaire'!$A$9:$M$16,8,FALSE))=TRUE),"",IF((OR(($C25="Absences congés payés :"),($C25="Maladie :"))=FALSE),,IF(($C25="Primes, avantages :"),D25,(D25*E25))))</f>
      </c>
      <c r="I25" s="30"/>
      <c r="J25" s="30"/>
      <c r="K25" s="19"/>
    </row>
    <row r="26" spans="1:11" ht="11.25" customHeight="1">
      <c r="A26" s="18"/>
      <c r="B26" s="28"/>
      <c r="C26" s="34">
        <f>IF((ISBLANK('Composantes du salaire'!H12)=TRUE),,'Composantes du salaire'!A12)</f>
        <v>0</v>
      </c>
      <c r="D26" s="29">
        <f>IF((ISNA(VLOOKUP($C26,'Composantes du salaire'!$A$9:$M$16,8,FALSE))=TRUE),"",VLOOKUP($C26,'Composantes du salaire'!$A$9:$M$16,8,FALSE))</f>
      </c>
      <c r="E26" s="30"/>
      <c r="F26" s="31"/>
      <c r="G26" s="30">
        <f>IF((ISNA(VLOOKUP($C26,'Composantes du salaire'!$A$9:$M$16,8,FALSE))=TRUE),"",IF((OR(($C26="Absences congés payés :"),($C26="Maladie :"))=TRUE),,IF(($C26="Primes, avantages :"),D26,(D26*E26))))</f>
      </c>
      <c r="H26" s="30">
        <f>IF((ISNA(VLOOKUP($C26,'Composantes du salaire'!$A$9:$M$16,8,FALSE))=TRUE),"",IF((OR(($C26="Absences congés payés :"),($C26="Maladie :"))=FALSE),,IF(($C26="Primes, avantages :"),D26,(D26*E26))))</f>
      </c>
      <c r="I26" s="30"/>
      <c r="J26" s="30"/>
      <c r="K26" s="19"/>
    </row>
    <row r="27" spans="1:11" ht="11.25" customHeight="1">
      <c r="A27" s="18"/>
      <c r="B27" s="28"/>
      <c r="C27" s="34">
        <f>IF((ISBLANK('Composantes du salaire'!H13)=TRUE),,'Composantes du salaire'!A13)</f>
        <v>0</v>
      </c>
      <c r="D27" s="29">
        <f>IF((ISNA(VLOOKUP($C27,'Composantes du salaire'!$A$9:$M$16,8,FALSE))=TRUE),"",VLOOKUP($C27,'Composantes du salaire'!$A$9:$M$16,8,FALSE))</f>
      </c>
      <c r="E27" s="30"/>
      <c r="F27" s="31"/>
      <c r="G27" s="30">
        <f>IF((ISNA(VLOOKUP($C27,'Composantes du salaire'!$A$9:$M$16,8,FALSE))=TRUE),"",IF((OR(($C27="Absences congés payés :"),($C27="Maladie :"))=TRUE),,IF(($C27="Primes, avantages :"),D27,(D27*E27))))</f>
      </c>
      <c r="H27" s="30">
        <f>IF((ISNA(VLOOKUP($C27,'Composantes du salaire'!$A$9:$M$16,8,FALSE))=TRUE),"",IF((OR(($C27="Absences congés payés :"),($C27="Maladie :"))=FALSE),,IF(($C27="Primes, avantages :"),D27,(D27*E27))))</f>
      </c>
      <c r="I27" s="30"/>
      <c r="J27" s="30"/>
      <c r="K27" s="19"/>
    </row>
    <row r="28" spans="1:11" ht="11.25" customHeight="1">
      <c r="A28" s="18"/>
      <c r="B28" s="28"/>
      <c r="C28" s="34">
        <f>IF((ISBLANK('Composantes du salaire'!H14)=TRUE),,'Composantes du salaire'!A14)</f>
        <v>0</v>
      </c>
      <c r="D28" s="29">
        <f>IF((ISNA(VLOOKUP($C28,'Composantes du salaire'!$A$9:$M$16,8,FALSE))=TRUE),"",VLOOKUP($C28,'Composantes du salaire'!$A$9:$M$16,8,FALSE))</f>
      </c>
      <c r="E28" s="30"/>
      <c r="F28" s="31"/>
      <c r="G28" s="30">
        <f>IF((ISNA(VLOOKUP($C28,'Composantes du salaire'!$A$9:$M$16,8,FALSE))=TRUE),"",IF((OR(($C28="Absences congés payés :"),($C28="Maladie :"))=TRUE),,IF(($C28="Primes, avantages :"),D28,(D28*E28))))</f>
      </c>
      <c r="H28" s="30">
        <f>IF((ISNA(VLOOKUP($C28,'Composantes du salaire'!$A$9:$M$16,8,FALSE))=TRUE),"",IF((OR(($C28="Absences congés payés :"),($C28="Maladie :"))=FALSE),,IF(($C28="Primes, avantages :"),D28,(D28*E28))))</f>
      </c>
      <c r="I28" s="30"/>
      <c r="J28" s="30"/>
      <c r="K28" s="19"/>
    </row>
    <row r="29" spans="1:11" ht="11.25" customHeight="1">
      <c r="A29" s="18"/>
      <c r="B29" s="28"/>
      <c r="C29" s="34">
        <f>IF((ISBLANK('Composantes du salaire'!H15)=TRUE),,'Composantes du salaire'!A15)</f>
        <v>0</v>
      </c>
      <c r="D29" s="29">
        <f>IF((ISNA(VLOOKUP($C29,'Composantes du salaire'!$A$9:$M$16,8,FALSE))=TRUE),"",VLOOKUP($C29,'Composantes du salaire'!$A$9:$M$16,8,FALSE))</f>
      </c>
      <c r="E29" s="30"/>
      <c r="F29" s="31"/>
      <c r="G29" s="30">
        <f>IF((ISNA(VLOOKUP($C29,'Composantes du salaire'!$A$9:$M$16,8,FALSE))=TRUE),"",IF((OR(($C29="Absences congés payés :"),($C29="Maladie :"))=TRUE),,IF(($C29="Primes, avantages :"),D29,(D29*E29))))</f>
      </c>
      <c r="H29" s="30">
        <f>IF((ISNA(VLOOKUP($C29,'Composantes du salaire'!$A$9:$M$16,8,FALSE))=TRUE),"",IF((OR(($C29="Absences congés payés :"),($C29="Maladie :"))=FALSE),,IF(($C29="Primes, avantages :"),D29,(D29*E29))))</f>
      </c>
      <c r="I29" s="30"/>
      <c r="J29" s="30"/>
      <c r="K29" s="19"/>
    </row>
    <row r="30" spans="1:11" ht="11.25" customHeight="1">
      <c r="A30" s="18"/>
      <c r="B30" s="28"/>
      <c r="C30" s="29" t="s">
        <v>128</v>
      </c>
      <c r="D30" s="29"/>
      <c r="E30" s="30"/>
      <c r="F30" s="31"/>
      <c r="G30" s="31">
        <f>SUM(G22:G29)-SUM(F22:F29)</f>
        <v>1510</v>
      </c>
      <c r="H30" s="31"/>
      <c r="I30" s="30"/>
      <c r="J30" s="30"/>
      <c r="K30" s="19"/>
    </row>
    <row r="31" spans="1:11" ht="11.25" customHeight="1">
      <c r="A31" s="18"/>
      <c r="B31" s="102">
        <v>40299</v>
      </c>
      <c r="C31" s="29"/>
      <c r="D31" s="61" t="str">
        <f>IF(('Param Taux'!C7="Oui"),"Base Sal","")</f>
        <v>Base Sal</v>
      </c>
      <c r="E31" s="61" t="str">
        <f>IF(('Param Taux'!C7="Oui"),"Base Patr","")</f>
        <v>Base Patr</v>
      </c>
      <c r="F31" s="31"/>
      <c r="G31" s="30"/>
      <c r="H31" s="31"/>
      <c r="I31" s="30"/>
      <c r="J31" s="30"/>
      <c r="K31" s="19"/>
    </row>
    <row r="32" spans="1:11" ht="11.25" customHeight="1">
      <c r="A32" s="18"/>
      <c r="B32" s="28"/>
      <c r="C32" s="29" t="s">
        <v>34</v>
      </c>
      <c r="D32" s="34">
        <f>IF(('Param Taux'!C7="Oui"),$G$30,)</f>
        <v>1510</v>
      </c>
      <c r="E32" s="31">
        <f>IF(('Param Taux'!$C$7="Oui"),IF(($G$30&lt;=('Param Taux'!$C$3*'Composantes du salaire'!$B$2)),0,(G30-('Param Taux'!$C$3*'Composantes du salaire'!$B$2))),$G$30)</f>
        <v>1510</v>
      </c>
      <c r="F32" s="33">
        <f>'Param Taux'!C12+'Param Taux'!C13</f>
        <v>0.0085</v>
      </c>
      <c r="G32" s="30"/>
      <c r="H32" s="31">
        <f aca="true" t="shared" si="0" ref="H32:H51">E32*F32</f>
        <v>12.835</v>
      </c>
      <c r="I32" s="33">
        <f>'Param Taux'!D12</f>
        <v>0.128</v>
      </c>
      <c r="J32" s="31">
        <f aca="true" t="shared" si="1" ref="J32:J51">I32*E32</f>
        <v>193.28</v>
      </c>
      <c r="K32" s="19"/>
    </row>
    <row r="33" spans="1:11" ht="11.25" customHeight="1">
      <c r="A33" s="18"/>
      <c r="B33" s="28"/>
      <c r="C33" s="29" t="s">
        <v>76</v>
      </c>
      <c r="D33" s="34">
        <f>IF(('Param Taux'!C7="Oui"),$G$30,)</f>
        <v>1510</v>
      </c>
      <c r="E33" s="31">
        <f>IF(('Param Taux'!$C$7="Oui"),IF(($G$30&lt;=('Param Taux'!$C$3*'Composantes du salaire'!$B$2)),0,(G30-('Param Taux'!$C$3*'Composantes du salaire'!$B$2))),$G$30)</f>
        <v>1510</v>
      </c>
      <c r="F33" s="33">
        <f>'Param Taux'!C14</f>
        <v>0</v>
      </c>
      <c r="G33" s="30"/>
      <c r="H33" s="31">
        <f t="shared" si="0"/>
        <v>0</v>
      </c>
      <c r="I33" s="33">
        <f>'Param Taux'!D14</f>
        <v>0.073</v>
      </c>
      <c r="J33" s="31">
        <f t="shared" si="1"/>
        <v>110.22999999999999</v>
      </c>
      <c r="K33" s="19"/>
    </row>
    <row r="34" spans="1:11" ht="11.25" customHeight="1">
      <c r="A34" s="18"/>
      <c r="B34" s="28"/>
      <c r="C34" s="29" t="s">
        <v>39</v>
      </c>
      <c r="D34" s="34">
        <f>IF(('Param Taux'!C7="Oui"),IF(($G$30&lt;='Param Taux'!C2),$G$30,'Param Taux'!$C$2),)</f>
        <v>1510</v>
      </c>
      <c r="E34" s="31">
        <f>IF(('Param Taux'!C7="Oui"),IF(($G$30&lt;=('Param Taux'!$C$3*'Composantes du salaire'!$B$2)),0,IF(((G30-('Param Taux'!$C$3*'Composantes du salaire'!$B$2))&lt;='Param Taux'!C2),(G30-('Param Taux'!$C$3*'Composantes du salaire'!$B$2)),'Param Taux'!C2)),IF(($G$30&lt;='Param Taux'!C2),$G$30,'Param Taux'!$C$2))</f>
        <v>1510</v>
      </c>
      <c r="F34" s="33">
        <f>'Param Taux'!C15</f>
        <v>0.0665</v>
      </c>
      <c r="G34" s="30"/>
      <c r="H34" s="31">
        <f t="shared" si="0"/>
        <v>100.415</v>
      </c>
      <c r="I34" s="33">
        <f>'Param Taux'!D15</f>
        <v>0.083</v>
      </c>
      <c r="J34" s="31">
        <f t="shared" si="1"/>
        <v>125.33000000000001</v>
      </c>
      <c r="K34" s="19"/>
    </row>
    <row r="35" spans="1:11" ht="11.25" customHeight="1">
      <c r="A35" s="18"/>
      <c r="B35" s="28"/>
      <c r="C35" s="29" t="s">
        <v>68</v>
      </c>
      <c r="D35" s="34">
        <f>IF(('Param Taux'!C7="Oui"),$G$30,)</f>
        <v>1510</v>
      </c>
      <c r="E35" s="31">
        <f>IF(('Param Taux'!$C$7="Oui"),IF(($G$30&lt;=('Param Taux'!$C$3*'Composantes du salaire'!$B$2)),0,(G30-('Param Taux'!$C$3*'Composantes du salaire'!$B$2))),$G$30)</f>
        <v>1510</v>
      </c>
      <c r="F35" s="33">
        <f>'Param Taux'!C16</f>
        <v>0</v>
      </c>
      <c r="G35" s="30"/>
      <c r="H35" s="31">
        <f t="shared" si="0"/>
        <v>0</v>
      </c>
      <c r="I35" s="33">
        <f>'Param Taux'!D16</f>
        <v>0.016</v>
      </c>
      <c r="J35" s="31">
        <f t="shared" si="1"/>
        <v>24.16</v>
      </c>
      <c r="K35" s="19"/>
    </row>
    <row r="36" spans="1:11" ht="11.25" customHeight="1">
      <c r="A36" s="18"/>
      <c r="B36" s="28"/>
      <c r="C36" s="29" t="s">
        <v>102</v>
      </c>
      <c r="D36" s="34">
        <f>IF(('Param Taux'!C7="Oui"),$G$30,)</f>
        <v>1510</v>
      </c>
      <c r="E36" s="31">
        <f>IF(('Param Taux'!$C$7="Oui"),IF(($G$30&lt;=('Param Taux'!$C$3*'Composantes du salaire'!$B$2)),0,(G30-('Param Taux'!$C$3*'Composantes du salaire'!$B$2))),$G$30)</f>
        <v>1510</v>
      </c>
      <c r="F36" s="33">
        <f>'Param Taux'!C17</f>
        <v>0</v>
      </c>
      <c r="G36" s="30"/>
      <c r="H36" s="31">
        <f t="shared" si="0"/>
        <v>0</v>
      </c>
      <c r="I36" s="33">
        <f>'Param Taux'!D17</f>
        <v>0.054</v>
      </c>
      <c r="J36" s="31">
        <f t="shared" si="1"/>
        <v>81.53999999999999</v>
      </c>
      <c r="K36" s="19"/>
    </row>
    <row r="37" spans="1:11" ht="11.25" customHeight="1">
      <c r="A37" s="18"/>
      <c r="B37" s="28"/>
      <c r="C37" s="29" t="s">
        <v>115</v>
      </c>
      <c r="D37" s="34">
        <f>IF(('Param Taux'!C7="Oui"),IF(($G$30&lt;='Param Taux'!C2),$G$30,'Param Taux'!$C$2),)</f>
        <v>1510</v>
      </c>
      <c r="E37" s="31">
        <f>IF(($G$30&lt;='Param Taux'!C2),$G$30,'Param Taux'!$C$2)</f>
        <v>1510</v>
      </c>
      <c r="F37" s="33">
        <f>'Param Taux'!C18</f>
        <v>0</v>
      </c>
      <c r="G37" s="30"/>
      <c r="H37" s="31">
        <f t="shared" si="0"/>
        <v>0</v>
      </c>
      <c r="I37" s="33">
        <f>'Param Taux'!D18</f>
        <v>0.001</v>
      </c>
      <c r="J37" s="31">
        <f t="shared" si="1"/>
        <v>1.51</v>
      </c>
      <c r="K37" s="19"/>
    </row>
    <row r="38" spans="1:11" ht="11.25" customHeight="1">
      <c r="A38" s="18"/>
      <c r="B38" s="28"/>
      <c r="C38" s="29" t="s">
        <v>89</v>
      </c>
      <c r="D38" s="34">
        <f>IF(('Param Taux'!C7="Oui"),$G$30,)</f>
        <v>1510</v>
      </c>
      <c r="E38" s="31">
        <f>$G$30</f>
        <v>1510</v>
      </c>
      <c r="F38" s="33">
        <f>'Param Taux'!C19</f>
        <v>0</v>
      </c>
      <c r="G38" s="30"/>
      <c r="H38" s="31">
        <f t="shared" si="0"/>
        <v>0</v>
      </c>
      <c r="I38" s="33">
        <f>'Param Taux'!D19</f>
        <v>0</v>
      </c>
      <c r="J38" s="31">
        <f t="shared" si="1"/>
        <v>0</v>
      </c>
      <c r="K38" s="19"/>
    </row>
    <row r="39" spans="1:11" ht="11.25" customHeight="1">
      <c r="A39" s="18"/>
      <c r="B39" s="28"/>
      <c r="C39" s="34">
        <f>IF(('Param Taux'!C5="oui"),'Param Taux'!B20,)</f>
        <v>0</v>
      </c>
      <c r="D39" s="29"/>
      <c r="E39" s="31">
        <f>IF(('Param Taux'!C5="oui"),$G$30,)</f>
        <v>0</v>
      </c>
      <c r="F39" s="33">
        <f>'Param Taux'!C20</f>
        <v>0</v>
      </c>
      <c r="G39" s="30"/>
      <c r="H39" s="31">
        <f t="shared" si="0"/>
        <v>0</v>
      </c>
      <c r="I39" s="33">
        <f>IF(('Param Taux'!C5="oui"),'Param Taux'!D20,)</f>
        <v>0</v>
      </c>
      <c r="J39" s="31">
        <f t="shared" si="1"/>
        <v>0</v>
      </c>
      <c r="K39" s="19"/>
    </row>
    <row r="40" spans="1:11" ht="11.25" customHeight="1">
      <c r="A40" s="18"/>
      <c r="B40" s="28"/>
      <c r="C40" s="29" t="s">
        <v>134</v>
      </c>
      <c r="D40" s="29"/>
      <c r="E40" s="31">
        <f>IF(($G$30&lt;='Param Taux'!C2),$G$30,'Param Taux'!$C$2)</f>
        <v>1510</v>
      </c>
      <c r="F40" s="33">
        <f>'Param Taux'!C22</f>
        <v>0.024</v>
      </c>
      <c r="G40" s="30"/>
      <c r="H40" s="31">
        <f t="shared" si="0"/>
        <v>36.24</v>
      </c>
      <c r="I40" s="33">
        <f>'Param Taux'!D22</f>
        <v>0.04</v>
      </c>
      <c r="J40" s="31">
        <f t="shared" si="1"/>
        <v>60.4</v>
      </c>
      <c r="K40" s="19"/>
    </row>
    <row r="41" spans="1:11" ht="11.25" customHeight="1">
      <c r="A41" s="18"/>
      <c r="B41" s="28"/>
      <c r="C41" s="34">
        <f>IF(($G$30&lt;='Param Taux'!C2),,'Param Taux'!B23)</f>
        <v>0</v>
      </c>
      <c r="D41" s="29"/>
      <c r="E41" s="31">
        <f>IF(($G$30&lt;='Param Taux'!C2),,($G$30-'Param Taux'!$C$2))</f>
        <v>0</v>
      </c>
      <c r="F41" s="33">
        <f>IF(($G$30&lt;='Param Taux'!C2),,'Param Taux'!C23)</f>
        <v>0</v>
      </c>
      <c r="G41" s="30"/>
      <c r="H41" s="31">
        <f t="shared" si="0"/>
        <v>0</v>
      </c>
      <c r="I41" s="33">
        <f>IF(($G$30&lt;='Param Taux'!C2),,'Param Taux'!D23)</f>
        <v>0</v>
      </c>
      <c r="J41" s="31">
        <f t="shared" si="1"/>
        <v>0</v>
      </c>
      <c r="K41" s="19"/>
    </row>
    <row r="42" spans="1:11" ht="11.25" customHeight="1">
      <c r="A42" s="18"/>
      <c r="B42" s="28"/>
      <c r="C42" s="29" t="s">
        <v>12</v>
      </c>
      <c r="D42" s="29"/>
      <c r="E42" s="31">
        <f>$G$30</f>
        <v>1510</v>
      </c>
      <c r="F42" s="33">
        <f>'Param Taux'!C24</f>
        <v>0</v>
      </c>
      <c r="G42" s="30"/>
      <c r="H42" s="31">
        <f t="shared" si="0"/>
        <v>0</v>
      </c>
      <c r="I42" s="33">
        <f>'Param Taux'!D24</f>
        <v>0.004</v>
      </c>
      <c r="J42" s="31">
        <f t="shared" si="1"/>
        <v>6.04</v>
      </c>
      <c r="K42" s="19"/>
    </row>
    <row r="43" spans="1:11" ht="11.25" customHeight="1">
      <c r="A43" s="18"/>
      <c r="B43" s="28"/>
      <c r="C43" s="29" t="str">
        <f>IF(('Composantes du salaire'!$Z$1=2),'Param Taux'!B26,'Param Taux'!B30)</f>
        <v>Retraite cadre T A</v>
      </c>
      <c r="D43" s="29"/>
      <c r="E43" s="31">
        <f>IF(($G$30&lt;='Param Taux'!C2),$G$30,'Param Taux'!$C$2)</f>
        <v>1510</v>
      </c>
      <c r="F43" s="33">
        <f>IF(('Composantes du salaire'!$Z$1=2),'Param Taux'!C26,'Param Taux'!C30)</f>
        <v>0</v>
      </c>
      <c r="G43" s="30"/>
      <c r="H43" s="31">
        <f t="shared" si="0"/>
        <v>0</v>
      </c>
      <c r="I43" s="33">
        <f>IF(('Composantes du salaire'!$Z$1=2),'Param Taux'!D26,'Param Taux'!D30)</f>
        <v>0</v>
      </c>
      <c r="J43" s="31">
        <f t="shared" si="1"/>
        <v>0</v>
      </c>
      <c r="K43" s="19"/>
    </row>
    <row r="44" spans="1:11" ht="11.25" customHeight="1">
      <c r="A44" s="18"/>
      <c r="B44" s="28"/>
      <c r="C44" s="34">
        <f>IF(($G$30&lt;='Param Taux'!C2),,IF(('Composantes du salaire'!$Z$1=2),'Param Taux'!B27,'Param Taux'!B31))</f>
        <v>0</v>
      </c>
      <c r="D44" s="29"/>
      <c r="E44" s="31">
        <f>IF(($G$30&lt;='Param Taux'!C2),,($G$30-'Param Taux'!$C$2))</f>
        <v>0</v>
      </c>
      <c r="F44" s="33">
        <f>IF(($G$30&lt;='Param Taux'!C2),,IF(('Composantes du salaire'!$Z$1=2),'Param Taux'!C27,'Param Taux'!C31))</f>
        <v>0</v>
      </c>
      <c r="G44" s="30"/>
      <c r="H44" s="31">
        <f t="shared" si="0"/>
        <v>0</v>
      </c>
      <c r="I44" s="33">
        <f>IF(($G$30&lt;='Param Taux'!C2),,IF(('Composantes du salaire'!$Z$1=2),'Param Taux'!D27,'Param Taux'!D31))</f>
        <v>0</v>
      </c>
      <c r="J44" s="31">
        <f t="shared" si="1"/>
        <v>0</v>
      </c>
      <c r="K44" s="19"/>
    </row>
    <row r="45" spans="1:11" ht="11.25" customHeight="1">
      <c r="A45" s="18"/>
      <c r="B45" s="28"/>
      <c r="C45" s="29" t="str">
        <f>IF(('Composantes du salaire'!$Z$1=2),'Param Taux'!B28,'Param Taux'!B32)</f>
        <v>AGFF cadre T A</v>
      </c>
      <c r="D45" s="29"/>
      <c r="E45" s="31">
        <f>IF(($G$30&lt;='Param Taux'!C2),$G$30,'Param Taux'!$C$2)</f>
        <v>1510</v>
      </c>
      <c r="F45" s="33">
        <f>IF(('Composantes du salaire'!$Z$1=2),'Param Taux'!C28,'Param Taux'!C32)</f>
        <v>0</v>
      </c>
      <c r="G45" s="30"/>
      <c r="H45" s="31">
        <f t="shared" si="0"/>
        <v>0</v>
      </c>
      <c r="I45" s="33">
        <f>IF(('Composantes du salaire'!$Z$1=2),'Param Taux'!D28,'Param Taux'!D32)</f>
        <v>0</v>
      </c>
      <c r="J45" s="31">
        <f t="shared" si="1"/>
        <v>0</v>
      </c>
      <c r="K45" s="19"/>
    </row>
    <row r="46" spans="1:11" ht="11.25" customHeight="1">
      <c r="A46" s="18"/>
      <c r="B46" s="28"/>
      <c r="C46" s="34">
        <f>IF(($G$30&lt;='Param Taux'!C2),,IF(('Composantes du salaire'!$Z$1=2),'Param Taux'!B29,'Param Taux'!B33))</f>
        <v>0</v>
      </c>
      <c r="D46" s="29"/>
      <c r="E46" s="31">
        <f>IF(($G$30&lt;='Param Taux'!C2),,($G$30-'Param Taux'!$C$2))</f>
        <v>0</v>
      </c>
      <c r="F46" s="33">
        <f>IF(($G$30&lt;='Param Taux'!C2),,IF(('Composantes du salaire'!$Z$1=2),'Param Taux'!C29,'Param Taux'!C33))</f>
        <v>0</v>
      </c>
      <c r="G46" s="30"/>
      <c r="H46" s="31">
        <f t="shared" si="0"/>
        <v>0</v>
      </c>
      <c r="I46" s="33">
        <f>IF(($G$30&lt;='Param Taux'!C2),,IF(('Composantes du salaire'!$Z$1=2),'Param Taux'!D29,'Param Taux'!D33))</f>
        <v>0</v>
      </c>
      <c r="J46" s="31">
        <f t="shared" si="1"/>
        <v>0</v>
      </c>
      <c r="K46" s="19"/>
    </row>
    <row r="47" spans="1:11" ht="11.25" customHeight="1">
      <c r="A47" s="18"/>
      <c r="B47" s="28"/>
      <c r="C47" s="34">
        <f>IF(($G$30&lt;='Param Taux'!C2),,IF(('Composantes du salaire'!$Z$1=2),,'Param Taux'!B34))</f>
        <v>0</v>
      </c>
      <c r="D47" s="29"/>
      <c r="E47" s="31">
        <f>IF(($G$30&lt;='Param Taux'!C2),,IF(('Composantes du salaire'!$Z$1=2),,($G$30-'Param Taux'!$C$2)))</f>
        <v>0</v>
      </c>
      <c r="F47" s="33">
        <f>IF(($G$30&lt;='Param Taux'!C2),,IF(('Composantes du salaire'!$Z$1=2),,'Param Taux'!C34))</f>
        <v>0</v>
      </c>
      <c r="G47" s="30"/>
      <c r="H47" s="31">
        <f t="shared" si="0"/>
        <v>0</v>
      </c>
      <c r="I47" s="33">
        <f>IF(($G$30&lt;='Param Taux'!C2),,IF(('Composantes du salaire'!$Z$1=2),,'Param Taux'!D34))</f>
        <v>0</v>
      </c>
      <c r="J47" s="31">
        <f t="shared" si="1"/>
        <v>0</v>
      </c>
      <c r="K47" s="19"/>
    </row>
    <row r="48" spans="1:11" ht="11.25" customHeight="1">
      <c r="A48" s="18"/>
      <c r="B48" s="28"/>
      <c r="C48" s="29" t="str">
        <f>IF(('Composantes du salaire'!$Z$1=2),,'Param Taux'!B35)</f>
        <v>Assurance décès</v>
      </c>
      <c r="D48" s="29"/>
      <c r="E48" s="31">
        <f>IF(('Composantes du salaire'!$Z$1=2),,IF(($G$30&lt;='Param Taux'!C2),$G$30,'Param Taux'!$C$2))</f>
        <v>1510</v>
      </c>
      <c r="F48" s="33">
        <f>IF(('Composantes du salaire'!$Z$1=2),,'Param Taux'!D35)</f>
        <v>0</v>
      </c>
      <c r="G48" s="30"/>
      <c r="H48" s="31">
        <f t="shared" si="0"/>
        <v>0</v>
      </c>
      <c r="I48" s="33">
        <f>IF(('Composantes du salaire'!$Z$1=2),,'Param Taux'!D35)</f>
        <v>0</v>
      </c>
      <c r="J48" s="31">
        <f t="shared" si="1"/>
        <v>0</v>
      </c>
      <c r="K48" s="19"/>
    </row>
    <row r="49" spans="1:11" ht="11.25" customHeight="1">
      <c r="A49" s="18"/>
      <c r="B49" s="28"/>
      <c r="C49" s="29" t="str">
        <f>IF(('Composantes du salaire'!$Z$1=2),,'Param Taux'!B36)</f>
        <v>CET</v>
      </c>
      <c r="D49" s="29"/>
      <c r="E49" s="31">
        <f>IF(('Composantes du salaire'!$Z$1=2),,G30)</f>
        <v>1510</v>
      </c>
      <c r="F49" s="33">
        <f>IF(('Composantes du salaire'!$Z$1=2),,'Param Taux'!D36)</f>
        <v>0</v>
      </c>
      <c r="G49" s="30"/>
      <c r="H49" s="31">
        <f t="shared" si="0"/>
        <v>0</v>
      </c>
      <c r="I49" s="33">
        <f>IF(('Composantes du salaire'!$Z$1=2),,'Param Taux'!D36)</f>
        <v>0</v>
      </c>
      <c r="J49" s="31">
        <f t="shared" si="1"/>
        <v>0</v>
      </c>
      <c r="K49" s="19"/>
    </row>
    <row r="50" spans="1:11" ht="11.25" customHeight="1">
      <c r="A50" s="18"/>
      <c r="B50" s="28"/>
      <c r="C50" s="29" t="s">
        <v>43</v>
      </c>
      <c r="D50" s="29"/>
      <c r="E50" s="31">
        <f>($G$30+$E$57)*(95/100)</f>
        <v>1434.5</v>
      </c>
      <c r="F50" s="33">
        <f>'Param Taux'!C37</f>
        <v>0.029</v>
      </c>
      <c r="G50" s="30"/>
      <c r="H50" s="31">
        <f t="shared" si="0"/>
        <v>41.600500000000004</v>
      </c>
      <c r="I50" s="33">
        <f>'Param Taux'!D37</f>
        <v>0</v>
      </c>
      <c r="J50" s="31">
        <f t="shared" si="1"/>
        <v>0</v>
      </c>
      <c r="K50" s="19"/>
    </row>
    <row r="51" spans="1:11" ht="11.25" customHeight="1">
      <c r="A51" s="18"/>
      <c r="B51" s="28"/>
      <c r="C51" s="29" t="s">
        <v>25</v>
      </c>
      <c r="D51" s="29"/>
      <c r="E51" s="31">
        <f>($G$30+$E$57)*(95/100)</f>
        <v>1434.5</v>
      </c>
      <c r="F51" s="33">
        <f>'Param Taux'!C38</f>
        <v>0.051</v>
      </c>
      <c r="G51" s="30"/>
      <c r="H51" s="31">
        <f t="shared" si="0"/>
        <v>73.1595</v>
      </c>
      <c r="I51" s="33">
        <f>'Param Taux'!D38</f>
        <v>0</v>
      </c>
      <c r="J51" s="31">
        <f t="shared" si="1"/>
        <v>0</v>
      </c>
      <c r="K51" s="19"/>
    </row>
    <row r="52" spans="1:11" ht="11.25" customHeight="1">
      <c r="A52" s="18"/>
      <c r="B52" s="28"/>
      <c r="C52" s="29">
        <f>IF(('Param Taux'!C6="Oui"),"Aide financière 35 H","")</f>
      </c>
      <c r="D52" s="29"/>
      <c r="E52" s="31"/>
      <c r="F52" s="33"/>
      <c r="G52" s="30"/>
      <c r="H52" s="31"/>
      <c r="I52" s="33"/>
      <c r="J52" s="31">
        <f>IF((C52&lt;&gt;""),-'Param Taux'!E6,0)</f>
        <v>0</v>
      </c>
      <c r="K52" s="19"/>
    </row>
    <row r="53" spans="1:11" ht="11.25" customHeight="1">
      <c r="A53" s="18"/>
      <c r="B53" s="28"/>
      <c r="C53" s="29">
        <f>IF(('Param Taux'!$C$5="Oui"),'Param Taux'!B39,"")</f>
      </c>
      <c r="D53" s="29"/>
      <c r="E53" s="31">
        <f>IF(('Param Taux'!$C$5="oui"),$G$30,0)</f>
        <v>0</v>
      </c>
      <c r="F53" s="33">
        <f>IF(('Param Taux'!$C$5="oui"),'Param Taux'!C39,)</f>
        <v>0</v>
      </c>
      <c r="G53" s="30"/>
      <c r="H53" s="31">
        <f>E53*F53</f>
        <v>0</v>
      </c>
      <c r="I53" s="33">
        <f>IF(('Param Taux'!C5="oui"),'Param Taux'!D39,0)</f>
        <v>0</v>
      </c>
      <c r="J53" s="31">
        <f>I53*E53</f>
        <v>0</v>
      </c>
      <c r="K53" s="19"/>
    </row>
    <row r="54" spans="1:11" ht="11.25" customHeight="1">
      <c r="A54" s="18"/>
      <c r="B54" s="28"/>
      <c r="C54" s="29">
        <f>IF(('Param Taux'!$C$5="Oui"),'Param Taux'!B40,"")</f>
      </c>
      <c r="D54" s="29"/>
      <c r="E54" s="31">
        <f>IF(('Param Taux'!$C$5="oui"),$G$30,0)</f>
        <v>0</v>
      </c>
      <c r="F54" s="33">
        <f>IF(('Param Taux'!$C$5="oui"),'Param Taux'!C40,)</f>
        <v>0</v>
      </c>
      <c r="G54" s="30"/>
      <c r="H54" s="31">
        <f>E54*F54</f>
        <v>0</v>
      </c>
      <c r="I54" s="33">
        <f>IF(('Param Taux'!C5="oui"),'Param Taux'!D40,)</f>
        <v>0</v>
      </c>
      <c r="J54" s="31">
        <f>I54*E54</f>
        <v>0</v>
      </c>
      <c r="K54" s="19"/>
    </row>
    <row r="55" spans="1:11" ht="11.25" customHeight="1">
      <c r="A55" s="18"/>
      <c r="B55" s="28"/>
      <c r="C55" s="29" t="str">
        <f>'Param Taux'!B42</f>
        <v>Prévoyance ouvrier  pro btp TA</v>
      </c>
      <c r="D55" s="29"/>
      <c r="E55" s="31">
        <f>IF(($G$30&lt;='Param Taux'!C2),$G$30,'Param Taux'!$C$2)</f>
        <v>1510</v>
      </c>
      <c r="F55" s="33">
        <f>'Param Taux'!C42</f>
        <v>0.0087</v>
      </c>
      <c r="G55" s="30"/>
      <c r="H55" s="31">
        <f>E55*F55</f>
        <v>13.136999999999999</v>
      </c>
      <c r="I55" s="33">
        <f>'Param Taux'!D42</f>
        <v>0</v>
      </c>
      <c r="J55" s="31">
        <f>I55*E55</f>
        <v>0</v>
      </c>
      <c r="K55" s="19"/>
    </row>
    <row r="56" spans="1:11" ht="11.25" customHeight="1">
      <c r="A56" s="18"/>
      <c r="B56" s="28"/>
      <c r="C56" s="34">
        <f>IF(($G$30&lt;='Param Taux'!C2),,'Param Taux'!B43)</f>
        <v>0</v>
      </c>
      <c r="D56" s="29"/>
      <c r="E56" s="31">
        <f>IF(($G$30&lt;='Param Taux'!C2),,($G$30-'Param Taux'!$C$2))</f>
        <v>0</v>
      </c>
      <c r="F56" s="33">
        <f>IF(($G$30&lt;='Param Taux'!C2),,'Param Taux'!C43)</f>
        <v>0</v>
      </c>
      <c r="G56" s="30"/>
      <c r="H56" s="31">
        <f>E56*F56</f>
        <v>0</v>
      </c>
      <c r="I56" s="33">
        <f>IF(($G$30&lt;='Param Taux'!C2),,'Param Taux'!D43)</f>
        <v>0</v>
      </c>
      <c r="J56" s="31">
        <f>I56*E56</f>
        <v>0</v>
      </c>
      <c r="K56" s="19"/>
    </row>
    <row r="57" spans="1:11" ht="11.25" customHeight="1">
      <c r="A57" s="18"/>
      <c r="B57" s="28"/>
      <c r="C57" s="34">
        <f>IF(('Param Taux'!C5="oui"),'Param Taux'!B44,)</f>
        <v>0</v>
      </c>
      <c r="D57" s="29"/>
      <c r="E57" s="31">
        <f>IF(('Param Taux'!C5="oui"),((H58+H56)+H55),)</f>
        <v>0</v>
      </c>
      <c r="F57" s="33"/>
      <c r="G57" s="30"/>
      <c r="H57" s="31"/>
      <c r="I57" s="33">
        <f>IF(('Param Taux'!C5="oui"),'Param Taux'!D44,)</f>
        <v>0</v>
      </c>
      <c r="J57" s="31">
        <f>E57*I57</f>
        <v>0</v>
      </c>
      <c r="K57" s="19"/>
    </row>
    <row r="58" spans="1:11" ht="11.25" customHeight="1">
      <c r="A58" s="18"/>
      <c r="B58" s="28"/>
      <c r="C58" s="29" t="str">
        <f>'Param Taux'!B45</f>
        <v>Mutuelle</v>
      </c>
      <c r="D58" s="29"/>
      <c r="E58" s="31">
        <f>IF(($G$30&lt;='Param Taux'!$C$2),$G$30,'Param Taux'!$C$2)</f>
        <v>1510</v>
      </c>
      <c r="F58" s="33">
        <f>'Param Taux'!C45</f>
        <v>0</v>
      </c>
      <c r="G58" s="30"/>
      <c r="H58" s="31">
        <f>E58*F58</f>
        <v>0</v>
      </c>
      <c r="I58" s="33">
        <f>'Param Taux'!D45</f>
        <v>0</v>
      </c>
      <c r="J58" s="31">
        <f>I58*E58</f>
        <v>0</v>
      </c>
      <c r="K58" s="19"/>
    </row>
    <row r="59" spans="1:11" ht="11.25" customHeight="1">
      <c r="A59" s="18"/>
      <c r="B59" s="28"/>
      <c r="C59" s="34">
        <f>'Param Taux'!B47</f>
        <v>0</v>
      </c>
      <c r="D59" s="29"/>
      <c r="E59" s="31">
        <f>IF(('Param Taux'!E47=""),,IF(('Param Taux'!E47='Param Taux'!$AB$2),'Param Taux'!$C$2,IF(('Param Taux'!E47='Param Taux'!$AB$3),$G$30,IF(('Param Taux'!E47='Param Taux'!$AB$4),IF(($G$30&gt;='Param Taux'!$C$2),($G$30-'Param Taux'!$C$2),""),'Param Taux'!E47))))</f>
        <v>0</v>
      </c>
      <c r="F59" s="33">
        <f>'Param Taux'!C47</f>
        <v>0</v>
      </c>
      <c r="G59" s="30"/>
      <c r="H59" s="31">
        <f>E59*F59</f>
        <v>0</v>
      </c>
      <c r="I59" s="33">
        <f>'Param Taux'!D47</f>
        <v>0</v>
      </c>
      <c r="J59" s="31">
        <f>I59*E59</f>
        <v>0</v>
      </c>
      <c r="K59" s="19"/>
    </row>
    <row r="60" spans="1:11" ht="11.25" customHeight="1">
      <c r="A60" s="18"/>
      <c r="B60" s="28"/>
      <c r="C60" s="34">
        <f>'Param Taux'!B48</f>
        <v>0</v>
      </c>
      <c r="D60" s="29"/>
      <c r="E60" s="31">
        <f>IF(('Param Taux'!E48=""),,IF(('Param Taux'!E48='Param Taux'!$AB$2),'Param Taux'!$C$2,IF(('Param Taux'!E48='Param Taux'!$AB$3),$G$30,IF(('Param Taux'!E48='Param Taux'!$AB$4),IF(($G$30&gt;='Param Taux'!$C$2),($G$30-'Param Taux'!$C$2),""),'Param Taux'!E48))))</f>
        <v>0</v>
      </c>
      <c r="F60" s="33">
        <f>'Param Taux'!C48</f>
        <v>0</v>
      </c>
      <c r="G60" s="30"/>
      <c r="H60" s="31">
        <f>E60*F60</f>
        <v>0</v>
      </c>
      <c r="I60" s="33">
        <f>'Param Taux'!D48</f>
        <v>0</v>
      </c>
      <c r="J60" s="31">
        <f>I60*E60</f>
        <v>0</v>
      </c>
      <c r="K60" s="19"/>
    </row>
    <row r="61" spans="1:11" ht="11.25" customHeight="1">
      <c r="A61" s="18"/>
      <c r="B61" s="28"/>
      <c r="C61" s="34">
        <f>'Param Taux'!B49</f>
        <v>0</v>
      </c>
      <c r="D61" s="29"/>
      <c r="E61" s="31">
        <f>IF(('Param Taux'!E49=""),,IF(('Param Taux'!E49='Param Taux'!$AB$2),'Param Taux'!$C$2,IF(('Param Taux'!E49='Param Taux'!$AB$3),$G$30,IF(('Param Taux'!E49='Param Taux'!$AB$4),IF(($G$30&gt;='Param Taux'!$C$2),($G$30-'Param Taux'!$C$2),""),'Param Taux'!E49))))</f>
        <v>0</v>
      </c>
      <c r="F61" s="33">
        <f>'Param Taux'!C49</f>
        <v>0</v>
      </c>
      <c r="G61" s="30"/>
      <c r="H61" s="31">
        <f>E61*F61</f>
        <v>0</v>
      </c>
      <c r="I61" s="33">
        <f>'Param Taux'!D49</f>
        <v>0</v>
      </c>
      <c r="J61" s="31">
        <f>I61*E61</f>
        <v>0</v>
      </c>
      <c r="K61" s="19"/>
    </row>
    <row r="62" spans="1:11" ht="11.25" customHeight="1">
      <c r="A62" s="18"/>
      <c r="B62" s="35"/>
      <c r="C62" s="36">
        <f>'Param Taux'!B50</f>
        <v>0</v>
      </c>
      <c r="D62" s="37"/>
      <c r="E62" s="38">
        <f>IF(('Param Taux'!E50=""),,IF(('Param Taux'!E50='Param Taux'!$AB$2),'Param Taux'!$C$2,IF(('Param Taux'!E50='Param Taux'!$AB$3),$G$30,IF(('Param Taux'!E50='Param Taux'!$AB$4),IF(($G$30&gt;='Param Taux'!$C$2),($G$30-'Param Taux'!$C$2),""),'Param Taux'!E50))))</f>
        <v>0</v>
      </c>
      <c r="F62" s="39">
        <f>'Param Taux'!C50</f>
        <v>0</v>
      </c>
      <c r="G62" s="40"/>
      <c r="H62" s="38">
        <f>E62*F62</f>
        <v>0</v>
      </c>
      <c r="I62" s="39">
        <f>'Param Taux'!D50</f>
        <v>0</v>
      </c>
      <c r="J62" s="38">
        <f>I62*E62</f>
        <v>0</v>
      </c>
      <c r="K62" s="19"/>
    </row>
    <row r="63" spans="1:11" ht="11.25" customHeight="1">
      <c r="A63" s="18"/>
      <c r="B63" s="41"/>
      <c r="C63" s="42" t="s">
        <v>19</v>
      </c>
      <c r="D63" s="42"/>
      <c r="E63" s="43"/>
      <c r="F63" s="44"/>
      <c r="G63" s="45"/>
      <c r="H63" s="43">
        <f>SUM(H32:H62)</f>
        <v>277.387</v>
      </c>
      <c r="I63" s="44"/>
      <c r="J63" s="43">
        <f>SUM(J32:J62)</f>
        <v>602.49</v>
      </c>
      <c r="K63" s="19"/>
    </row>
    <row r="64" spans="1:11" ht="11.25" customHeight="1">
      <c r="A64" s="18"/>
      <c r="B64" s="46"/>
      <c r="C64" s="47"/>
      <c r="D64" s="47"/>
      <c r="E64" s="49"/>
      <c r="F64" s="49"/>
      <c r="G64" s="49"/>
      <c r="H64" s="49">
        <f>D64*E64</f>
        <v>0</v>
      </c>
      <c r="I64" s="49"/>
      <c r="J64" s="49"/>
      <c r="K64" s="19"/>
    </row>
    <row r="65" spans="1:11" ht="11.25" customHeight="1">
      <c r="A65" s="18"/>
      <c r="B65" s="35"/>
      <c r="C65" s="37"/>
      <c r="D65" s="37"/>
      <c r="E65" s="38"/>
      <c r="F65" s="38"/>
      <c r="G65" s="38"/>
      <c r="H65" s="38"/>
      <c r="I65" s="38"/>
      <c r="J65" s="38"/>
      <c r="K65" s="19"/>
    </row>
    <row r="66" spans="2:10" ht="5.25" customHeight="1">
      <c r="B66" s="50"/>
      <c r="C66" s="50"/>
      <c r="D66" s="50"/>
      <c r="E66" s="50"/>
      <c r="F66" s="50"/>
      <c r="G66" s="50"/>
      <c r="H66" s="50"/>
      <c r="I66" s="50"/>
      <c r="J66" s="50"/>
    </row>
    <row r="67" spans="2:10" ht="12.75" customHeight="1">
      <c r="B67" s="51"/>
      <c r="C67" s="52" t="s">
        <v>142</v>
      </c>
      <c r="D67" s="53">
        <f>J67+H50</f>
        <v>1274.2135</v>
      </c>
      <c r="E67" s="52"/>
      <c r="F67" s="52"/>
      <c r="G67" s="52"/>
      <c r="H67" s="52" t="s">
        <v>8</v>
      </c>
      <c r="I67" s="54"/>
      <c r="J67" s="53">
        <f>((G30-H63)-(SUM(H64:H65)))+SUM(G64:G65)</f>
        <v>1232.613</v>
      </c>
    </row>
    <row r="68" spans="2:10" ht="12.75" customHeight="1">
      <c r="B68" s="51"/>
      <c r="C68" s="52" t="s">
        <v>59</v>
      </c>
      <c r="D68" s="53">
        <f>D67+Juin!D68</f>
        <v>3185.5337500000005</v>
      </c>
      <c r="E68" s="52"/>
      <c r="F68" s="52"/>
      <c r="G68" s="52"/>
      <c r="H68" s="52" t="s">
        <v>59</v>
      </c>
      <c r="I68" s="54"/>
      <c r="J68" s="53">
        <f>J67+Juin!J68</f>
        <v>3081.5325000000003</v>
      </c>
    </row>
  </sheetData>
  <sheetProtection/>
  <mergeCells count="30">
    <mergeCell ref="A1:E1"/>
    <mergeCell ref="F1:J1"/>
    <mergeCell ref="A2:E2"/>
    <mergeCell ref="A3:E3"/>
    <mergeCell ref="A4:B4"/>
    <mergeCell ref="F4:J4"/>
    <mergeCell ref="A5:B5"/>
    <mergeCell ref="F5:J5"/>
    <mergeCell ref="A6:B6"/>
    <mergeCell ref="F6:J6"/>
    <mergeCell ref="A7:B7"/>
    <mergeCell ref="F7:J7"/>
    <mergeCell ref="H15:I15"/>
    <mergeCell ref="A8:B8"/>
    <mergeCell ref="F8:J8"/>
    <mergeCell ref="A9:B9"/>
    <mergeCell ref="C9:E9"/>
    <mergeCell ref="F9:J9"/>
    <mergeCell ref="A11:B11"/>
    <mergeCell ref="H11:J11"/>
    <mergeCell ref="A16:B16"/>
    <mergeCell ref="A17:B17"/>
    <mergeCell ref="F20:H20"/>
    <mergeCell ref="I20:J20"/>
    <mergeCell ref="A12:B12"/>
    <mergeCell ref="H12:J12"/>
    <mergeCell ref="A13:B13"/>
    <mergeCell ref="H13:J13"/>
    <mergeCell ref="A14:B14"/>
    <mergeCell ref="F15:G15"/>
  </mergeCells>
  <printOptions/>
  <pageMargins left="0.787401575" right="0.787401575" top="0.984251969" bottom="0.984251969" header="0.5" footer="0.5"/>
  <pageSetup horizontalDpi="300" verticalDpi="300" orientation="portrait" paperSize="9" scale="8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mzarragane</cp:lastModifiedBy>
  <cp:lastPrinted>2010-06-30T15:47:07Z</cp:lastPrinted>
  <dcterms:created xsi:type="dcterms:W3CDTF">2010-06-30T15:19:02Z</dcterms:created>
  <dcterms:modified xsi:type="dcterms:W3CDTF">2011-01-31T13:13:48Z</dcterms:modified>
  <cp:category/>
  <cp:version/>
  <cp:contentType/>
  <cp:contentStatus/>
</cp:coreProperties>
</file>